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7083\Implementation\Updated_spreadsheets\Next_release\"/>
    </mc:Choice>
  </mc:AlternateContent>
  <xr:revisionPtr revIDLastSave="0" documentId="13_ncr:1_{D0A3C9A4-DE41-489A-BCBB-F7CE556F8337}" xr6:coauthVersionLast="47" xr6:coauthVersionMax="47" xr10:uidLastSave="{00000000-0000-0000-0000-000000000000}"/>
  <bookViews>
    <workbookView xWindow="-108" yWindow="-108" windowWidth="23256" windowHeight="12576" tabRatio="642" xr2:uid="{00000000-000D-0000-FFFF-FFFF00000000}"/>
  </bookViews>
  <sheets>
    <sheet name="Instructions" sheetId="23" r:id="rId1"/>
    <sheet name="Segment 1" sheetId="17" r:id="rId2"/>
    <sheet name="Segment 2" sheetId="25" r:id="rId3"/>
    <sheet name="Segment Tables" sheetId="27" r:id="rId4"/>
    <sheet name="Intersection 1" sheetId="24" r:id="rId5"/>
    <sheet name="Intersection 2" sheetId="26" r:id="rId6"/>
    <sheet name="Intersection Tables" sheetId="28" r:id="rId7"/>
    <sheet name="Urban Site Total" sheetId="20" r:id="rId8"/>
    <sheet name="Urban Project Total" sheetId="19" r:id="rId9"/>
    <sheet name="Construction - do not delete" sheetId="10" r:id="rId10"/>
  </sheets>
  <definedNames>
    <definedName name="CRumble">'Construction - do not delete'!$H$17:$H$18</definedName>
    <definedName name="Differ">'Construction - do not delete'!$L$29:$L$30</definedName>
    <definedName name="District">'Construction - do not delete'!$B$17:$B$42</definedName>
    <definedName name="Division">'Construction - do not delete'!$F$37:$F$38</definedName>
    <definedName name="IApproach">'Construction - do not delete'!$L$37:$L$39</definedName>
    <definedName name="ILight">'Construction - do not delete'!$J$29:$J$30</definedName>
    <definedName name="IntApproach1">'Construction - do not delete'!$J$4:$J$8</definedName>
    <definedName name="IntApproach2">'Construction - do not delete'!$L$4:$L$8</definedName>
    <definedName name="IType">'Construction - do not delete'!$D$29:$D$31</definedName>
    <definedName name="IType2">'Construction - do not delete'!$F$71:$F$74</definedName>
    <definedName name="LApproach">'Construction - do not delete'!$F$29:$F$33</definedName>
    <definedName name="Lighting">'Construction - do not delete'!$H$23:$H$24</definedName>
    <definedName name="Local">'Construction - do not delete'!$L$17:$L$18</definedName>
    <definedName name="LWidth">'Construction - do not delete'!$B$4:$B$10</definedName>
    <definedName name="MWidth">'Construction - do not delete'!$D$37:$D$46</definedName>
    <definedName name="Not_Present">#REF!</definedName>
    <definedName name="OffsetFO">'Construction - do not delete'!$L$55:$L$61</definedName>
    <definedName name="OnStreet">'Construction - do not delete'!$J$55:$J$58</definedName>
    <definedName name="OnStreetType">'Construction - do not delete'!$J$55:$J$59</definedName>
    <definedName name="Phasing">'Construction - do not delete'!$H$71:$H$74</definedName>
    <definedName name="Phasing2">'Construction - do not delete'!$L$71:$L$75</definedName>
    <definedName name="PLane">'Construction - do not delete'!$J$17:$J$18</definedName>
    <definedName name="PLane2">'Construction - do not delete'!$J$17:$J$19</definedName>
    <definedName name="Posted">'Construction - do not delete'!$N$55:$N$56</definedName>
    <definedName name="PresOrNot">'Construction - do not delete'!$H$55:$H$56</definedName>
    <definedName name="_xlnm.Print_Area" localSheetId="4">'Intersection 1'!$A$1:$N$188</definedName>
    <definedName name="_xlnm.Print_Area" localSheetId="5">'Intersection 2'!$A$1:$N$188</definedName>
    <definedName name="_xlnm.Print_Area" localSheetId="1">'Segment 1'!$A$1:$N$189</definedName>
    <definedName name="_xlnm.Print_Area" localSheetId="2">'Segment 2'!$A$1:$N$189</definedName>
    <definedName name="_xlnm.Print_Area" localSheetId="8">'Urban Project Total'!$B$2:$O$69</definedName>
    <definedName name="_xlnm.Print_Area" localSheetId="7">'Urban Site Total'!$A$1:$L$71</definedName>
    <definedName name="Pspeed">'Construction - do not delete'!$N$54</definedName>
    <definedName name="RApproach">'Construction - do not delete'!$H$29:$H$33</definedName>
    <definedName name="Region">'Construction - do not delete'!$H$4:$H$8</definedName>
    <definedName name="RHR">'Construction - do not delete'!$F$4:$F$10</definedName>
    <definedName name="RType">'Construction - do not delete'!$D$55:$D$59</definedName>
    <definedName name="Shld2">'Construction - do not delete'!$J$37:$J$47</definedName>
    <definedName name="SpEnforce">'Construction - do not delete'!$J$23:$J$24</definedName>
    <definedName name="Spiral">'Construction - do not delete'!$F$17:$F$18</definedName>
    <definedName name="SSlope">'Construction - do not delete'!$H$37:$H$41</definedName>
    <definedName name="SType">'Construction - do not delete'!$D$17:$D$20</definedName>
    <definedName name="SWidth">'Construction - do not delete'!$D$4:$D$12</definedName>
    <definedName name="TLanes">'Construction - do not delete'!$D$71:$D$75</definedName>
    <definedName name="TWLTL">'Construction - do not delete'!$F$23:$F$24</definedName>
    <definedName name="UMedian">'Construction - do not delete'!$F$56:$F$66</definedName>
    <definedName name="UMedian2">'Construction - do not delete'!$F$56:$F$66</definedName>
    <definedName name="UMedWidth">'Construction - do not delete'!$F$55:$F$66</definedName>
    <definedName name="UnsigApproach">'Construction - do not delete'!$J$71:$J$73</definedName>
    <definedName name="UnsigApproach1">'Construction - do not delete'!$J$11:$J$13</definedName>
    <definedName name="UnsigApproach2">'Construction - do not delete'!$L$11:$L$13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7" i="24" l="1"/>
  <c r="F157" i="24"/>
  <c r="L157" i="26"/>
  <c r="F157" i="26"/>
  <c r="K149" i="26"/>
  <c r="K148" i="26"/>
  <c r="K117" i="26"/>
  <c r="K149" i="24"/>
  <c r="K148" i="24"/>
  <c r="N137" i="24"/>
  <c r="M137" i="24"/>
  <c r="M138" i="24"/>
  <c r="K117" i="24"/>
  <c r="M149" i="25"/>
  <c r="M148" i="25"/>
  <c r="M139" i="25"/>
  <c r="M138" i="25"/>
  <c r="M149" i="17"/>
  <c r="M148" i="17"/>
  <c r="M139" i="17"/>
  <c r="M138" i="17"/>
  <c r="K138" i="17" l="1"/>
  <c r="G39" i="20"/>
  <c r="D38" i="20"/>
  <c r="D37" i="20"/>
  <c r="D33" i="20"/>
  <c r="D32" i="20"/>
  <c r="D27" i="20"/>
  <c r="D26" i="20"/>
  <c r="D25" i="20"/>
  <c r="D24" i="20"/>
  <c r="D22" i="20"/>
  <c r="D21" i="20"/>
  <c r="D20" i="20"/>
  <c r="D19" i="20"/>
  <c r="D17" i="20"/>
  <c r="D15" i="20"/>
  <c r="D14" i="20"/>
  <c r="D16" i="20"/>
  <c r="A18" i="26"/>
  <c r="A17" i="26"/>
  <c r="A18" i="24"/>
  <c r="A17" i="24"/>
  <c r="L13" i="10"/>
  <c r="J13" i="10"/>
  <c r="A27" i="26"/>
  <c r="A22" i="26"/>
  <c r="A21" i="26"/>
  <c r="A20" i="26"/>
  <c r="A22" i="24"/>
  <c r="A27" i="24"/>
  <c r="A21" i="24"/>
  <c r="A20" i="24"/>
  <c r="L7" i="10"/>
  <c r="J7" i="10"/>
  <c r="L8" i="10"/>
  <c r="J8" i="10"/>
  <c r="O13" i="24" l="1"/>
  <c r="O11" i="25"/>
  <c r="C36" i="20" l="1"/>
  <c r="C35" i="20"/>
  <c r="C20" i="20"/>
  <c r="C19" i="20"/>
  <c r="C25" i="20"/>
  <c r="C24" i="20"/>
  <c r="C38" i="20"/>
  <c r="C37" i="20"/>
  <c r="C27" i="20"/>
  <c r="C26" i="20"/>
  <c r="C22" i="20"/>
  <c r="C21" i="20"/>
  <c r="I16" i="20"/>
  <c r="J16" i="20" s="1"/>
  <c r="I17" i="20"/>
  <c r="J17" i="20" s="1"/>
  <c r="H19" i="20"/>
  <c r="O9" i="26" l="1"/>
  <c r="O9" i="24"/>
  <c r="O9" i="25"/>
  <c r="O9" i="17"/>
  <c r="D36" i="19" l="1"/>
  <c r="D35" i="19"/>
  <c r="D31" i="19"/>
  <c r="D30" i="19"/>
  <c r="D25" i="19"/>
  <c r="D24" i="19"/>
  <c r="D20" i="19"/>
  <c r="D19" i="19"/>
  <c r="D15" i="19"/>
  <c r="D14" i="19"/>
  <c r="J36" i="19" l="1"/>
  <c r="I36" i="19"/>
  <c r="J35" i="19"/>
  <c r="I35" i="19"/>
  <c r="J31" i="19"/>
  <c r="I31" i="19"/>
  <c r="J30" i="19"/>
  <c r="I30" i="19"/>
  <c r="J25" i="19"/>
  <c r="I25" i="19"/>
  <c r="J24" i="19"/>
  <c r="I24" i="19"/>
  <c r="J20" i="19"/>
  <c r="I20" i="19"/>
  <c r="J19" i="19"/>
  <c r="I19" i="19"/>
  <c r="J15" i="19"/>
  <c r="I15" i="19"/>
  <c r="J14" i="19"/>
  <c r="I14" i="19"/>
  <c r="L129" i="25" l="1"/>
  <c r="K129" i="25"/>
  <c r="L128" i="25"/>
  <c r="K128" i="25"/>
  <c r="L127" i="25"/>
  <c r="K127" i="25"/>
  <c r="L129" i="17"/>
  <c r="K129" i="17"/>
  <c r="L128" i="17"/>
  <c r="K128" i="17"/>
  <c r="K127" i="17"/>
  <c r="M138" i="26"/>
  <c r="M137" i="26"/>
  <c r="M89" i="26"/>
  <c r="M88" i="26"/>
  <c r="M87" i="26"/>
  <c r="M86" i="26"/>
  <c r="M85" i="26"/>
  <c r="M57" i="26"/>
  <c r="M89" i="24"/>
  <c r="M88" i="24"/>
  <c r="M87" i="24"/>
  <c r="M86" i="24"/>
  <c r="M85" i="24"/>
  <c r="M57" i="24"/>
  <c r="M56" i="24"/>
  <c r="M55" i="24"/>
  <c r="M54" i="24"/>
  <c r="M53" i="24"/>
  <c r="M80" i="25" l="1"/>
  <c r="M81" i="25"/>
  <c r="M51" i="25"/>
  <c r="M52" i="25"/>
  <c r="M82" i="25"/>
  <c r="M48" i="25"/>
  <c r="M83" i="25"/>
  <c r="M49" i="25"/>
  <c r="M84" i="25"/>
  <c r="M50" i="25"/>
  <c r="M53" i="26"/>
  <c r="M55" i="26"/>
  <c r="M56" i="26"/>
  <c r="M54" i="26"/>
  <c r="M80" i="17"/>
  <c r="M81" i="17"/>
  <c r="M82" i="17"/>
  <c r="M51" i="17"/>
  <c r="M48" i="17"/>
  <c r="M83" i="17"/>
  <c r="M49" i="17"/>
  <c r="M84" i="17"/>
  <c r="M50" i="17"/>
  <c r="L127" i="17"/>
  <c r="M52" i="17"/>
  <c r="L107" i="24" l="1"/>
  <c r="J107" i="24"/>
  <c r="H107" i="24"/>
  <c r="F107" i="24"/>
  <c r="D107" i="24"/>
  <c r="A107" i="24"/>
  <c r="H106" i="24"/>
  <c r="D106" i="24"/>
  <c r="H105" i="24"/>
  <c r="D105" i="24"/>
  <c r="H104" i="24"/>
  <c r="D104" i="24"/>
  <c r="H103" i="24"/>
  <c r="D103" i="24"/>
  <c r="H102" i="24"/>
  <c r="D102" i="24"/>
  <c r="L107" i="26"/>
  <c r="J107" i="26"/>
  <c r="F107" i="26"/>
  <c r="H107" i="26"/>
  <c r="D107" i="26"/>
  <c r="A107" i="26"/>
  <c r="H106" i="26"/>
  <c r="H105" i="26"/>
  <c r="H104" i="26"/>
  <c r="H103" i="26"/>
  <c r="H102" i="26"/>
  <c r="D106" i="26"/>
  <c r="D105" i="26"/>
  <c r="D104" i="26"/>
  <c r="D103" i="26"/>
  <c r="D102" i="26"/>
  <c r="G88" i="24"/>
  <c r="F88" i="24"/>
  <c r="E88" i="24"/>
  <c r="D88" i="24"/>
  <c r="C88" i="24"/>
  <c r="G86" i="24"/>
  <c r="F86" i="24"/>
  <c r="E86" i="24"/>
  <c r="D86" i="24"/>
  <c r="C86" i="24"/>
  <c r="G85" i="24"/>
  <c r="F85" i="24"/>
  <c r="H33" i="19" s="1"/>
  <c r="E85" i="24"/>
  <c r="D85" i="24"/>
  <c r="C85" i="24"/>
  <c r="G88" i="26"/>
  <c r="F88" i="26"/>
  <c r="G86" i="26"/>
  <c r="F86" i="26"/>
  <c r="E88" i="26"/>
  <c r="D88" i="26"/>
  <c r="C88" i="26"/>
  <c r="E86" i="26"/>
  <c r="D86" i="26"/>
  <c r="C86" i="26"/>
  <c r="G85" i="26"/>
  <c r="F85" i="26"/>
  <c r="H34" i="19" s="1"/>
  <c r="E85" i="26"/>
  <c r="D85" i="26"/>
  <c r="C85" i="26"/>
  <c r="H74" i="24"/>
  <c r="D74" i="24"/>
  <c r="H73" i="24"/>
  <c r="D73" i="24"/>
  <c r="H72" i="24"/>
  <c r="D72" i="24"/>
  <c r="H71" i="24"/>
  <c r="D71" i="24"/>
  <c r="H70" i="24"/>
  <c r="D70" i="24"/>
  <c r="H74" i="26"/>
  <c r="H73" i="26"/>
  <c r="H72" i="26"/>
  <c r="H71" i="26"/>
  <c r="H70" i="26"/>
  <c r="D74" i="26"/>
  <c r="D73" i="26"/>
  <c r="D72" i="26"/>
  <c r="D71" i="26"/>
  <c r="D70" i="26"/>
  <c r="H100" i="17"/>
  <c r="D100" i="17"/>
  <c r="H99" i="17"/>
  <c r="D99" i="17"/>
  <c r="H98" i="17"/>
  <c r="D98" i="17"/>
  <c r="H97" i="17"/>
  <c r="D97" i="17"/>
  <c r="H100" i="25"/>
  <c r="H99" i="25"/>
  <c r="H98" i="25"/>
  <c r="H97" i="25"/>
  <c r="D100" i="25"/>
  <c r="D99" i="25"/>
  <c r="D98" i="25"/>
  <c r="D97" i="25"/>
  <c r="G57" i="24"/>
  <c r="F57" i="24"/>
  <c r="E57" i="24"/>
  <c r="D57" i="24"/>
  <c r="C57" i="24"/>
  <c r="G56" i="24"/>
  <c r="F56" i="24"/>
  <c r="E56" i="24"/>
  <c r="D56" i="24"/>
  <c r="C56" i="24"/>
  <c r="G55" i="24"/>
  <c r="F55" i="24"/>
  <c r="E55" i="24"/>
  <c r="D55" i="24"/>
  <c r="C55" i="24"/>
  <c r="G54" i="24"/>
  <c r="F54" i="24"/>
  <c r="E54" i="24"/>
  <c r="D54" i="24"/>
  <c r="C54" i="24"/>
  <c r="G53" i="24"/>
  <c r="F53" i="24"/>
  <c r="H30" i="20" s="1"/>
  <c r="E53" i="24"/>
  <c r="D53" i="24"/>
  <c r="C53" i="24"/>
  <c r="G57" i="26"/>
  <c r="F57" i="26"/>
  <c r="E57" i="26"/>
  <c r="D57" i="26"/>
  <c r="G56" i="26"/>
  <c r="F56" i="26"/>
  <c r="E56" i="26"/>
  <c r="D56" i="26"/>
  <c r="C56" i="26"/>
  <c r="C57" i="26"/>
  <c r="G55" i="26"/>
  <c r="F55" i="26"/>
  <c r="E55" i="26"/>
  <c r="D55" i="26"/>
  <c r="G54" i="26"/>
  <c r="F54" i="26"/>
  <c r="E54" i="26"/>
  <c r="D54" i="26"/>
  <c r="C54" i="26"/>
  <c r="C55" i="26"/>
  <c r="G53" i="26"/>
  <c r="F53" i="26"/>
  <c r="H29" i="19" s="1"/>
  <c r="E53" i="26"/>
  <c r="D53" i="26"/>
  <c r="C53" i="26"/>
  <c r="H70" i="17"/>
  <c r="D70" i="17"/>
  <c r="D69" i="17"/>
  <c r="F69" i="17" s="1"/>
  <c r="A69" i="17"/>
  <c r="H69" i="17" s="1"/>
  <c r="J69" i="17" s="1"/>
  <c r="A68" i="17"/>
  <c r="H68" i="17" s="1"/>
  <c r="H67" i="17"/>
  <c r="D67" i="17"/>
  <c r="H66" i="17"/>
  <c r="D66" i="17"/>
  <c r="H65" i="17"/>
  <c r="D65" i="17"/>
  <c r="H70" i="25"/>
  <c r="H67" i="25"/>
  <c r="H66" i="25"/>
  <c r="H65" i="25"/>
  <c r="D70" i="25"/>
  <c r="D67" i="25"/>
  <c r="D66" i="25"/>
  <c r="D65" i="25"/>
  <c r="A69" i="25"/>
  <c r="H69" i="25" s="1"/>
  <c r="J69" i="25" s="1"/>
  <c r="A68" i="25"/>
  <c r="D68" i="25" s="1"/>
  <c r="M117" i="17"/>
  <c r="H22" i="19" s="1"/>
  <c r="M117" i="25"/>
  <c r="F83" i="17"/>
  <c r="E83" i="17"/>
  <c r="D83" i="17"/>
  <c r="C83" i="17"/>
  <c r="F81" i="17"/>
  <c r="E81" i="17"/>
  <c r="D81" i="17"/>
  <c r="C81" i="17"/>
  <c r="F80" i="17"/>
  <c r="E80" i="17"/>
  <c r="D80" i="17"/>
  <c r="C80" i="17"/>
  <c r="F83" i="25"/>
  <c r="E83" i="25"/>
  <c r="D83" i="25"/>
  <c r="F81" i="25"/>
  <c r="E81" i="25"/>
  <c r="D81" i="25"/>
  <c r="F80" i="25"/>
  <c r="E80" i="25"/>
  <c r="H18" i="19" s="1"/>
  <c r="D80" i="25"/>
  <c r="C80" i="25"/>
  <c r="F51" i="17"/>
  <c r="E51" i="17"/>
  <c r="D51" i="17"/>
  <c r="C51" i="17"/>
  <c r="F49" i="17"/>
  <c r="E49" i="17"/>
  <c r="D49" i="17"/>
  <c r="C49" i="17"/>
  <c r="F48" i="17"/>
  <c r="E48" i="17"/>
  <c r="H12" i="19" s="1"/>
  <c r="D48" i="17"/>
  <c r="C48" i="17"/>
  <c r="F51" i="25"/>
  <c r="E51" i="25"/>
  <c r="F49" i="25"/>
  <c r="E49" i="25"/>
  <c r="F48" i="25"/>
  <c r="E48" i="25"/>
  <c r="H15" i="20" s="1"/>
  <c r="D48" i="25"/>
  <c r="C48" i="25"/>
  <c r="C83" i="25"/>
  <c r="C81" i="25"/>
  <c r="D51" i="25"/>
  <c r="D49" i="25"/>
  <c r="C51" i="25"/>
  <c r="C49" i="25"/>
  <c r="H137" i="24"/>
  <c r="G137" i="24"/>
  <c r="F137" i="24"/>
  <c r="E137" i="24"/>
  <c r="D137" i="24"/>
  <c r="C137" i="24"/>
  <c r="H137" i="26"/>
  <c r="G137" i="26"/>
  <c r="F137" i="26"/>
  <c r="E137" i="26"/>
  <c r="D137" i="26"/>
  <c r="C137" i="26"/>
  <c r="I117" i="26"/>
  <c r="I117" i="24"/>
  <c r="I148" i="24"/>
  <c r="I148" i="26"/>
  <c r="R59" i="28"/>
  <c r="Q59" i="28"/>
  <c r="Q60" i="28" s="1"/>
  <c r="Q61" i="28" s="1"/>
  <c r="P59" i="28"/>
  <c r="O59" i="28"/>
  <c r="O60" i="28" s="1"/>
  <c r="R47" i="28"/>
  <c r="R48" i="28" s="1"/>
  <c r="R49" i="28" s="1"/>
  <c r="Q47" i="28"/>
  <c r="P47" i="28"/>
  <c r="P48" i="28" s="1"/>
  <c r="P49" i="28" s="1"/>
  <c r="O47" i="28"/>
  <c r="Q42" i="27"/>
  <c r="P42" i="27"/>
  <c r="P43" i="27" s="1"/>
  <c r="P44" i="27" s="1"/>
  <c r="O42" i="27"/>
  <c r="O43" i="27" s="1"/>
  <c r="O44" i="27" s="1"/>
  <c r="N42" i="27"/>
  <c r="N43" i="27" s="1"/>
  <c r="M42" i="27"/>
  <c r="Q53" i="27"/>
  <c r="P53" i="27"/>
  <c r="P54" i="27" s="1"/>
  <c r="O53" i="27"/>
  <c r="N53" i="27"/>
  <c r="N54" i="27" s="1"/>
  <c r="M53" i="27"/>
  <c r="M54" i="27" s="1"/>
  <c r="M55" i="27" s="1"/>
  <c r="O13" i="26"/>
  <c r="E6" i="26"/>
  <c r="E6" i="24"/>
  <c r="E6" i="25"/>
  <c r="E6" i="17"/>
  <c r="F11" i="26"/>
  <c r="O11" i="26" s="1"/>
  <c r="F10" i="26"/>
  <c r="O10" i="26" s="1"/>
  <c r="F10" i="24"/>
  <c r="O10" i="24" s="1"/>
  <c r="F11" i="24"/>
  <c r="O11" i="24" s="1"/>
  <c r="F11" i="25"/>
  <c r="F11" i="17"/>
  <c r="O11" i="17" s="1"/>
  <c r="K43" i="24"/>
  <c r="K43" i="26"/>
  <c r="H127" i="26"/>
  <c r="E127" i="26"/>
  <c r="B127" i="26"/>
  <c r="I43" i="26"/>
  <c r="G43" i="26"/>
  <c r="E43" i="26"/>
  <c r="A43" i="26"/>
  <c r="V18" i="26"/>
  <c r="T18" i="26"/>
  <c r="V17" i="26"/>
  <c r="T17" i="26"/>
  <c r="T8" i="26"/>
  <c r="T7" i="26"/>
  <c r="T6" i="26"/>
  <c r="T5" i="26"/>
  <c r="H188" i="25"/>
  <c r="H187" i="25"/>
  <c r="H186" i="25"/>
  <c r="K148" i="25"/>
  <c r="K138" i="25"/>
  <c r="F129" i="25"/>
  <c r="F128" i="25"/>
  <c r="H116" i="25"/>
  <c r="F116" i="25"/>
  <c r="D116" i="25"/>
  <c r="H115" i="25"/>
  <c r="F115" i="25"/>
  <c r="D115" i="25"/>
  <c r="H114" i="25"/>
  <c r="F114" i="25"/>
  <c r="D114" i="25"/>
  <c r="H113" i="25"/>
  <c r="F113" i="25"/>
  <c r="D113" i="25"/>
  <c r="H112" i="25"/>
  <c r="F112" i="25"/>
  <c r="D112" i="25"/>
  <c r="H111" i="25"/>
  <c r="J111" i="25" s="1"/>
  <c r="F111" i="25"/>
  <c r="D111" i="25"/>
  <c r="H110" i="25"/>
  <c r="F110" i="25"/>
  <c r="D110" i="25"/>
  <c r="J38" i="25"/>
  <c r="F38" i="25"/>
  <c r="A38" i="25"/>
  <c r="Z10" i="25"/>
  <c r="Z8" i="25"/>
  <c r="Z6" i="25"/>
  <c r="V5" i="25"/>
  <c r="V8" i="25" s="1"/>
  <c r="V10" i="25" s="1"/>
  <c r="C38" i="25" s="1"/>
  <c r="Z10" i="17"/>
  <c r="Z8" i="17"/>
  <c r="V5" i="17"/>
  <c r="V8" i="17" s="1"/>
  <c r="V10" i="17" s="1"/>
  <c r="C38" i="17" s="1"/>
  <c r="Z6" i="17"/>
  <c r="I22" i="20"/>
  <c r="J22" i="20" s="1"/>
  <c r="I21" i="20"/>
  <c r="J21" i="20" s="1"/>
  <c r="G43" i="24"/>
  <c r="H127" i="24"/>
  <c r="E127" i="24"/>
  <c r="B127" i="24"/>
  <c r="V18" i="24"/>
  <c r="V17" i="24"/>
  <c r="T18" i="24"/>
  <c r="T17" i="24"/>
  <c r="I43" i="24"/>
  <c r="E43" i="24"/>
  <c r="T8" i="24"/>
  <c r="T7" i="24"/>
  <c r="T6" i="24"/>
  <c r="T5" i="24"/>
  <c r="A43" i="24"/>
  <c r="H188" i="17"/>
  <c r="H187" i="17"/>
  <c r="H186" i="17"/>
  <c r="F38" i="17"/>
  <c r="K148" i="17"/>
  <c r="F129" i="17"/>
  <c r="F128" i="17"/>
  <c r="H116" i="17"/>
  <c r="H115" i="17"/>
  <c r="H114" i="17"/>
  <c r="J114" i="17" s="1"/>
  <c r="H113" i="17"/>
  <c r="H112" i="17"/>
  <c r="H111" i="17"/>
  <c r="H110" i="17"/>
  <c r="F116" i="17"/>
  <c r="F115" i="17"/>
  <c r="F114" i="17"/>
  <c r="F113" i="17"/>
  <c r="F112" i="17"/>
  <c r="F111" i="17"/>
  <c r="F110" i="17"/>
  <c r="D116" i="17"/>
  <c r="D115" i="17"/>
  <c r="D114" i="17"/>
  <c r="D113" i="17"/>
  <c r="D112" i="17"/>
  <c r="D111" i="17"/>
  <c r="D110" i="17"/>
  <c r="J38" i="17"/>
  <c r="A38" i="17"/>
  <c r="I38" i="20"/>
  <c r="J38" i="20" s="1"/>
  <c r="I37" i="20"/>
  <c r="J37" i="20" s="1"/>
  <c r="I33" i="20"/>
  <c r="J33" i="20" s="1"/>
  <c r="I32" i="20"/>
  <c r="J32" i="20" s="1"/>
  <c r="I27" i="20"/>
  <c r="J27" i="20" s="1"/>
  <c r="I26" i="20"/>
  <c r="J26" i="20" s="1"/>
  <c r="K127" i="26" l="1"/>
  <c r="K137" i="26" s="1"/>
  <c r="J110" i="25"/>
  <c r="J113" i="17"/>
  <c r="G80" i="25"/>
  <c r="J113" i="25"/>
  <c r="J116" i="25"/>
  <c r="J114" i="25"/>
  <c r="J115" i="25"/>
  <c r="J112" i="25"/>
  <c r="J116" i="17"/>
  <c r="J110" i="17"/>
  <c r="J111" i="17"/>
  <c r="J112" i="17"/>
  <c r="G80" i="17"/>
  <c r="G81" i="17" s="1"/>
  <c r="J115" i="17"/>
  <c r="K127" i="24"/>
  <c r="K137" i="24" s="1"/>
  <c r="I137" i="24"/>
  <c r="H85" i="24"/>
  <c r="H88" i="24" s="1"/>
  <c r="G48" i="25"/>
  <c r="G51" i="25" s="1"/>
  <c r="G48" i="17"/>
  <c r="G49" i="17" s="1"/>
  <c r="D68" i="17"/>
  <c r="L69" i="17"/>
  <c r="H53" i="24"/>
  <c r="K53" i="24" s="1"/>
  <c r="D69" i="25"/>
  <c r="F69" i="25" s="1"/>
  <c r="L69" i="25" s="1"/>
  <c r="H68" i="25"/>
  <c r="P60" i="28"/>
  <c r="P61" i="28" s="1"/>
  <c r="O48" i="28"/>
  <c r="O49" i="28" s="1"/>
  <c r="Q48" i="28"/>
  <c r="Q49" i="28" s="1"/>
  <c r="R60" i="28"/>
  <c r="R61" i="28" s="1"/>
  <c r="O61" i="28"/>
  <c r="H28" i="19"/>
  <c r="H53" i="26"/>
  <c r="H54" i="26" s="1"/>
  <c r="H35" i="20"/>
  <c r="H85" i="26"/>
  <c r="H88" i="26" s="1"/>
  <c r="H31" i="20"/>
  <c r="H36" i="20"/>
  <c r="N55" i="27"/>
  <c r="P55" i="27"/>
  <c r="M43" i="27"/>
  <c r="M44" i="27" s="1"/>
  <c r="O54" i="27"/>
  <c r="O55" i="27" s="1"/>
  <c r="Q43" i="27"/>
  <c r="Q44" i="27" s="1"/>
  <c r="N44" i="27"/>
  <c r="Q54" i="27"/>
  <c r="Q55" i="27" s="1"/>
  <c r="H24" i="20"/>
  <c r="H38" i="25"/>
  <c r="M38" i="25" s="1"/>
  <c r="T9" i="24"/>
  <c r="C43" i="24" s="1"/>
  <c r="M43" i="24" s="1"/>
  <c r="L88" i="24" s="1"/>
  <c r="I137" i="26"/>
  <c r="H20" i="20"/>
  <c r="H13" i="19"/>
  <c r="H17" i="19"/>
  <c r="H38" i="17"/>
  <c r="M38" i="17" s="1"/>
  <c r="H14" i="20"/>
  <c r="H25" i="20"/>
  <c r="H23" i="19"/>
  <c r="T9" i="26"/>
  <c r="C43" i="26" s="1"/>
  <c r="M43" i="26" s="1"/>
  <c r="N137" i="26" l="1"/>
  <c r="N138" i="26" s="1"/>
  <c r="H86" i="24"/>
  <c r="I87" i="24" s="1"/>
  <c r="I89" i="24" s="1"/>
  <c r="K88" i="24" s="1"/>
  <c r="N88" i="24" s="1"/>
  <c r="F35" i="20" s="1"/>
  <c r="K85" i="24"/>
  <c r="N138" i="24"/>
  <c r="V21" i="26"/>
  <c r="H86" i="26"/>
  <c r="I87" i="26" s="1"/>
  <c r="K86" i="26" s="1"/>
  <c r="H56" i="24"/>
  <c r="H54" i="24"/>
  <c r="H56" i="26"/>
  <c r="I55" i="26" s="1"/>
  <c r="I57" i="26" s="1"/>
  <c r="K56" i="26" s="1"/>
  <c r="K53" i="26"/>
  <c r="G83" i="17"/>
  <c r="I82" i="17" s="1"/>
  <c r="G49" i="25"/>
  <c r="J117" i="17"/>
  <c r="D127" i="17" s="1"/>
  <c r="H127" i="17" s="1"/>
  <c r="K80" i="17"/>
  <c r="G51" i="17"/>
  <c r="I50" i="17" s="1"/>
  <c r="I52" i="17" s="1"/>
  <c r="K51" i="17" s="1"/>
  <c r="K80" i="25"/>
  <c r="G83" i="25"/>
  <c r="G81" i="25"/>
  <c r="K48" i="17"/>
  <c r="K48" i="25"/>
  <c r="L54" i="24"/>
  <c r="L53" i="24"/>
  <c r="N53" i="24" s="1"/>
  <c r="D117" i="24" s="1"/>
  <c r="L86" i="24"/>
  <c r="L56" i="24"/>
  <c r="L85" i="24"/>
  <c r="T21" i="26"/>
  <c r="K85" i="26"/>
  <c r="V21" i="24"/>
  <c r="T21" i="24"/>
  <c r="L83" i="25"/>
  <c r="L51" i="25"/>
  <c r="L80" i="25"/>
  <c r="I129" i="25"/>
  <c r="L81" i="25"/>
  <c r="L49" i="25"/>
  <c r="L48" i="25"/>
  <c r="I127" i="25"/>
  <c r="I128" i="25"/>
  <c r="J117" i="25"/>
  <c r="D127" i="25" s="1"/>
  <c r="H127" i="25" s="1"/>
  <c r="I128" i="17"/>
  <c r="L49" i="17"/>
  <c r="L80" i="17"/>
  <c r="L81" i="17"/>
  <c r="L83" i="17"/>
  <c r="I127" i="17"/>
  <c r="I129" i="17"/>
  <c r="L51" i="17"/>
  <c r="L48" i="17"/>
  <c r="L88" i="26"/>
  <c r="L86" i="26"/>
  <c r="L53" i="26"/>
  <c r="L56" i="26"/>
  <c r="L54" i="26"/>
  <c r="L85" i="26"/>
  <c r="N80" i="25" l="1"/>
  <c r="N85" i="24"/>
  <c r="L100" i="24" s="1"/>
  <c r="J100" i="24"/>
  <c r="N48" i="17"/>
  <c r="C138" i="17" s="1"/>
  <c r="I55" i="24"/>
  <c r="K54" i="24" s="1"/>
  <c r="N54" i="24" s="1"/>
  <c r="E28" i="19" s="1"/>
  <c r="N53" i="26"/>
  <c r="N80" i="17"/>
  <c r="D17" i="19" s="1"/>
  <c r="I17" i="19" s="1"/>
  <c r="I82" i="25"/>
  <c r="I84" i="25" s="1"/>
  <c r="K83" i="25" s="1"/>
  <c r="N83" i="25" s="1"/>
  <c r="I50" i="25"/>
  <c r="I52" i="25" s="1"/>
  <c r="K51" i="25" s="1"/>
  <c r="N51" i="25" s="1"/>
  <c r="F15" i="20" s="1"/>
  <c r="N48" i="25"/>
  <c r="C138" i="25" s="1"/>
  <c r="K54" i="26"/>
  <c r="V19" i="26" s="1"/>
  <c r="N85" i="26"/>
  <c r="F117" i="26" s="1"/>
  <c r="I89" i="26"/>
  <c r="K88" i="26" s="1"/>
  <c r="N88" i="26" s="1"/>
  <c r="F36" i="20" s="1"/>
  <c r="F33" i="19"/>
  <c r="D28" i="19"/>
  <c r="J28" i="19" s="1"/>
  <c r="L68" i="24"/>
  <c r="D148" i="24"/>
  <c r="K49" i="17"/>
  <c r="N49" i="17" s="1"/>
  <c r="E14" i="20" s="1"/>
  <c r="N51" i="17"/>
  <c r="F14" i="20" s="1"/>
  <c r="M127" i="17"/>
  <c r="L165" i="17" s="1"/>
  <c r="H129" i="17"/>
  <c r="M129" i="17" s="1"/>
  <c r="H128" i="17"/>
  <c r="M128" i="17" s="1"/>
  <c r="E24" i="20" s="1"/>
  <c r="M127" i="25"/>
  <c r="G138" i="25" s="1"/>
  <c r="D18" i="19"/>
  <c r="I18" i="19" s="1"/>
  <c r="H128" i="25"/>
  <c r="M128" i="25" s="1"/>
  <c r="I84" i="17"/>
  <c r="K83" i="17" s="1"/>
  <c r="N83" i="17" s="1"/>
  <c r="F19" i="20" s="1"/>
  <c r="K81" i="17"/>
  <c r="N81" i="17" s="1"/>
  <c r="H129" i="25"/>
  <c r="M129" i="25" s="1"/>
  <c r="K86" i="24"/>
  <c r="N86" i="24" s="1"/>
  <c r="E35" i="20" s="1"/>
  <c r="D35" i="20" s="1"/>
  <c r="N56" i="26"/>
  <c r="T20" i="26"/>
  <c r="V20" i="26"/>
  <c r="N86" i="26"/>
  <c r="E36" i="20" s="1"/>
  <c r="D36" i="20" s="1"/>
  <c r="L68" i="26" l="1"/>
  <c r="D117" i="26"/>
  <c r="H117" i="26" s="1"/>
  <c r="K118" i="26" s="1"/>
  <c r="F172" i="26" s="1"/>
  <c r="I36" i="20"/>
  <c r="J36" i="20" s="1"/>
  <c r="F165" i="25"/>
  <c r="E25" i="20"/>
  <c r="F18" i="19"/>
  <c r="F20" i="20"/>
  <c r="I165" i="25"/>
  <c r="F25" i="20"/>
  <c r="I165" i="17"/>
  <c r="F24" i="20"/>
  <c r="E17" i="19"/>
  <c r="E19" i="20"/>
  <c r="E138" i="25"/>
  <c r="I138" i="25" s="1"/>
  <c r="L95" i="25"/>
  <c r="E148" i="25"/>
  <c r="F148" i="24"/>
  <c r="H148" i="24" s="1"/>
  <c r="F173" i="24" s="1"/>
  <c r="L173" i="24" s="1"/>
  <c r="D33" i="19"/>
  <c r="J33" i="19" s="1"/>
  <c r="I35" i="20"/>
  <c r="J35" i="20" s="1"/>
  <c r="F117" i="24"/>
  <c r="H117" i="24" s="1"/>
  <c r="K118" i="24" s="1"/>
  <c r="F172" i="24" s="1"/>
  <c r="I51" i="19" s="1"/>
  <c r="T19" i="24"/>
  <c r="V19" i="24"/>
  <c r="I57" i="24"/>
  <c r="K56" i="24" s="1"/>
  <c r="T20" i="24" s="1"/>
  <c r="J105" i="24"/>
  <c r="I169" i="24" s="1"/>
  <c r="J106" i="24"/>
  <c r="I170" i="24" s="1"/>
  <c r="J104" i="24"/>
  <c r="I168" i="24" s="1"/>
  <c r="J102" i="24"/>
  <c r="I166" i="24" s="1"/>
  <c r="J103" i="24"/>
  <c r="I167" i="24" s="1"/>
  <c r="F100" i="24"/>
  <c r="E148" i="17"/>
  <c r="D148" i="26"/>
  <c r="D29" i="19"/>
  <c r="I29" i="19" s="1"/>
  <c r="J17" i="19"/>
  <c r="E138" i="17"/>
  <c r="L95" i="17"/>
  <c r="J63" i="17"/>
  <c r="E12" i="19"/>
  <c r="F63" i="17"/>
  <c r="D12" i="19"/>
  <c r="L63" i="17"/>
  <c r="C148" i="17"/>
  <c r="K81" i="25"/>
  <c r="N81" i="25" s="1"/>
  <c r="L63" i="25"/>
  <c r="C148" i="25"/>
  <c r="D13" i="19"/>
  <c r="I13" i="19" s="1"/>
  <c r="K49" i="25"/>
  <c r="N49" i="25" s="1"/>
  <c r="E15" i="20" s="1"/>
  <c r="F68" i="24"/>
  <c r="N54" i="26"/>
  <c r="E29" i="19" s="1"/>
  <c r="I28" i="19"/>
  <c r="T19" i="26"/>
  <c r="T22" i="26" s="1"/>
  <c r="F148" i="26"/>
  <c r="L100" i="26"/>
  <c r="D34" i="19"/>
  <c r="I34" i="19" s="1"/>
  <c r="I171" i="24"/>
  <c r="V22" i="26"/>
  <c r="E33" i="19"/>
  <c r="F12" i="19"/>
  <c r="I164" i="17"/>
  <c r="G138" i="17"/>
  <c r="D22" i="19"/>
  <c r="I22" i="19" s="1"/>
  <c r="F22" i="19"/>
  <c r="G148" i="17"/>
  <c r="E23" i="19"/>
  <c r="F13" i="19"/>
  <c r="J63" i="25"/>
  <c r="E22" i="19"/>
  <c r="F165" i="17"/>
  <c r="J95" i="25"/>
  <c r="J99" i="25" s="1"/>
  <c r="I171" i="25" s="1"/>
  <c r="L165" i="25"/>
  <c r="G148" i="25"/>
  <c r="D23" i="19"/>
  <c r="J23" i="19" s="1"/>
  <c r="J18" i="19"/>
  <c r="F23" i="19"/>
  <c r="J95" i="17"/>
  <c r="F17" i="19"/>
  <c r="F95" i="17"/>
  <c r="J68" i="26"/>
  <c r="F29" i="19"/>
  <c r="F34" i="19"/>
  <c r="J100" i="26"/>
  <c r="E34" i="19"/>
  <c r="F100" i="26"/>
  <c r="I15" i="20" l="1"/>
  <c r="J15" i="20" s="1"/>
  <c r="I19" i="20"/>
  <c r="J19" i="20" s="1"/>
  <c r="I24" i="20"/>
  <c r="J24" i="20" s="1"/>
  <c r="L172" i="26"/>
  <c r="I52" i="19"/>
  <c r="G54" i="20"/>
  <c r="I25" i="20"/>
  <c r="J25" i="20" s="1"/>
  <c r="E18" i="19"/>
  <c r="E20" i="20"/>
  <c r="I14" i="20"/>
  <c r="J14" i="20" s="1"/>
  <c r="J29" i="19"/>
  <c r="I33" i="19"/>
  <c r="G53" i="20"/>
  <c r="L172" i="24"/>
  <c r="T22" i="24"/>
  <c r="V20" i="24"/>
  <c r="V22" i="24" s="1"/>
  <c r="N56" i="24"/>
  <c r="J68" i="24" s="1"/>
  <c r="F104" i="24"/>
  <c r="L104" i="24" s="1"/>
  <c r="F102" i="24"/>
  <c r="L102" i="24" s="1"/>
  <c r="F105" i="24"/>
  <c r="L105" i="24" s="1"/>
  <c r="F103" i="24"/>
  <c r="L103" i="24" s="1"/>
  <c r="F106" i="24"/>
  <c r="L106" i="24" s="1"/>
  <c r="I138" i="17"/>
  <c r="F173" i="17" s="1"/>
  <c r="F98" i="17"/>
  <c r="F170" i="17" s="1"/>
  <c r="F99" i="17"/>
  <c r="F100" i="17"/>
  <c r="F172" i="17" s="1"/>
  <c r="F97" i="17"/>
  <c r="F169" i="17" s="1"/>
  <c r="F72" i="24"/>
  <c r="F161" i="24" s="1"/>
  <c r="F70" i="24"/>
  <c r="F159" i="24" s="1"/>
  <c r="F74" i="24"/>
  <c r="F163" i="24" s="1"/>
  <c r="F71" i="24"/>
  <c r="F160" i="24" s="1"/>
  <c r="F73" i="24"/>
  <c r="F162" i="24" s="1"/>
  <c r="H148" i="26"/>
  <c r="I12" i="19"/>
  <c r="J12" i="19"/>
  <c r="F66" i="17"/>
  <c r="F70" i="17"/>
  <c r="F68" i="17"/>
  <c r="F65" i="17"/>
  <c r="F67" i="17"/>
  <c r="I148" i="17"/>
  <c r="H48" i="20" s="1"/>
  <c r="J70" i="17"/>
  <c r="I166" i="17" s="1"/>
  <c r="J66" i="17"/>
  <c r="I161" i="17" s="1"/>
  <c r="J67" i="17"/>
  <c r="I162" i="17" s="1"/>
  <c r="J65" i="17"/>
  <c r="I160" i="17" s="1"/>
  <c r="J68" i="17"/>
  <c r="I163" i="17" s="1"/>
  <c r="F95" i="25"/>
  <c r="F97" i="25" s="1"/>
  <c r="J13" i="19"/>
  <c r="I148" i="25"/>
  <c r="J47" i="19" s="1"/>
  <c r="F63" i="25"/>
  <c r="F65" i="25" s="1"/>
  <c r="F160" i="25" s="1"/>
  <c r="E13" i="19"/>
  <c r="E37" i="19" s="1"/>
  <c r="E66" i="19" s="1"/>
  <c r="F68" i="26"/>
  <c r="F71" i="26" s="1"/>
  <c r="H53" i="20"/>
  <c r="J51" i="19"/>
  <c r="J34" i="19"/>
  <c r="T24" i="26"/>
  <c r="I174" i="24"/>
  <c r="J22" i="19"/>
  <c r="L164" i="17"/>
  <c r="D37" i="19"/>
  <c r="E64" i="19" s="1"/>
  <c r="I23" i="19"/>
  <c r="J68" i="25"/>
  <c r="I163" i="25" s="1"/>
  <c r="J66" i="25"/>
  <c r="J65" i="25"/>
  <c r="I160" i="25" s="1"/>
  <c r="J67" i="25"/>
  <c r="I162" i="25" s="1"/>
  <c r="J70" i="25"/>
  <c r="I166" i="25" s="1"/>
  <c r="J97" i="25"/>
  <c r="I169" i="25" s="1"/>
  <c r="J100" i="25"/>
  <c r="I172" i="25" s="1"/>
  <c r="J98" i="25"/>
  <c r="I170" i="25" s="1"/>
  <c r="F173" i="25"/>
  <c r="J99" i="17"/>
  <c r="I171" i="17" s="1"/>
  <c r="J97" i="17"/>
  <c r="I169" i="17" s="1"/>
  <c r="J98" i="17"/>
  <c r="I170" i="17" s="1"/>
  <c r="J100" i="17"/>
  <c r="I172" i="17" s="1"/>
  <c r="J104" i="26"/>
  <c r="I168" i="26" s="1"/>
  <c r="J103" i="26"/>
  <c r="I167" i="26" s="1"/>
  <c r="J106" i="26"/>
  <c r="I170" i="26" s="1"/>
  <c r="J102" i="26"/>
  <c r="I166" i="26" s="1"/>
  <c r="I171" i="26"/>
  <c r="J105" i="26"/>
  <c r="I169" i="26" s="1"/>
  <c r="F106" i="26"/>
  <c r="F102" i="26"/>
  <c r="F105" i="26"/>
  <c r="F104" i="26"/>
  <c r="F103" i="26"/>
  <c r="G49" i="20"/>
  <c r="I47" i="19"/>
  <c r="L173" i="25"/>
  <c r="J71" i="26"/>
  <c r="I160" i="26" s="1"/>
  <c r="J70" i="26"/>
  <c r="I159" i="26" s="1"/>
  <c r="J74" i="26"/>
  <c r="I163" i="26" s="1"/>
  <c r="J73" i="26"/>
  <c r="I162" i="26" s="1"/>
  <c r="J72" i="26"/>
  <c r="I161" i="26" s="1"/>
  <c r="I20" i="20" l="1"/>
  <c r="J20" i="20" s="1"/>
  <c r="T24" i="24"/>
  <c r="F28" i="19"/>
  <c r="F37" i="19" s="1"/>
  <c r="E68" i="19" s="1"/>
  <c r="G48" i="20"/>
  <c r="G57" i="20" s="1"/>
  <c r="F98" i="25"/>
  <c r="F170" i="25" s="1"/>
  <c r="L67" i="17"/>
  <c r="L162" i="17" s="1"/>
  <c r="L174" i="17"/>
  <c r="F173" i="26"/>
  <c r="L173" i="26" s="1"/>
  <c r="F100" i="25"/>
  <c r="L100" i="25" s="1"/>
  <c r="L172" i="25" s="1"/>
  <c r="I37" i="19"/>
  <c r="K37" i="19" s="1"/>
  <c r="L37" i="19" s="1"/>
  <c r="I167" i="17"/>
  <c r="L70" i="17"/>
  <c r="L166" i="17" s="1"/>
  <c r="L66" i="17"/>
  <c r="L161" i="17" s="1"/>
  <c r="J46" i="19"/>
  <c r="L65" i="17"/>
  <c r="L160" i="17" s="1"/>
  <c r="F174" i="17"/>
  <c r="L68" i="17"/>
  <c r="L163" i="17" s="1"/>
  <c r="F163" i="17"/>
  <c r="F99" i="25"/>
  <c r="F171" i="25" s="1"/>
  <c r="L174" i="25"/>
  <c r="H49" i="20"/>
  <c r="F174" i="25"/>
  <c r="F70" i="25"/>
  <c r="F166" i="25" s="1"/>
  <c r="F67" i="25"/>
  <c r="L67" i="25" s="1"/>
  <c r="L162" i="25" s="1"/>
  <c r="F164" i="25"/>
  <c r="F68" i="25"/>
  <c r="F163" i="25" s="1"/>
  <c r="F66" i="25"/>
  <c r="F161" i="25" s="1"/>
  <c r="F70" i="26"/>
  <c r="L70" i="26" s="1"/>
  <c r="L159" i="26" s="1"/>
  <c r="F72" i="26"/>
  <c r="F161" i="26" s="1"/>
  <c r="F74" i="26"/>
  <c r="L74" i="26" s="1"/>
  <c r="L163" i="26" s="1"/>
  <c r="F73" i="26"/>
  <c r="F162" i="26" s="1"/>
  <c r="J37" i="19"/>
  <c r="M37" i="19" s="1"/>
  <c r="N37" i="19" s="1"/>
  <c r="J73" i="24"/>
  <c r="J74" i="24"/>
  <c r="J70" i="24"/>
  <c r="J71" i="24"/>
  <c r="J72" i="24"/>
  <c r="L168" i="24"/>
  <c r="F168" i="24"/>
  <c r="L171" i="24"/>
  <c r="F171" i="24"/>
  <c r="L166" i="24"/>
  <c r="F166" i="24"/>
  <c r="L169" i="24"/>
  <c r="F169" i="24"/>
  <c r="F167" i="24"/>
  <c r="L167" i="24"/>
  <c r="F170" i="24"/>
  <c r="L170" i="24"/>
  <c r="F164" i="17"/>
  <c r="F160" i="17"/>
  <c r="I46" i="19"/>
  <c r="I55" i="19" s="1"/>
  <c r="F161" i="17"/>
  <c r="F162" i="17"/>
  <c r="F166" i="17"/>
  <c r="I164" i="25"/>
  <c r="I161" i="25"/>
  <c r="I175" i="25"/>
  <c r="L65" i="25"/>
  <c r="L160" i="25" s="1"/>
  <c r="L99" i="17"/>
  <c r="L171" i="17" s="1"/>
  <c r="F169" i="25"/>
  <c r="L97" i="25"/>
  <c r="L169" i="25" s="1"/>
  <c r="F171" i="17"/>
  <c r="L100" i="17"/>
  <c r="L172" i="17" s="1"/>
  <c r="L98" i="17"/>
  <c r="L170" i="17" s="1"/>
  <c r="L97" i="17"/>
  <c r="L169" i="17" s="1"/>
  <c r="I175" i="17"/>
  <c r="F164" i="24"/>
  <c r="E30" i="20" s="1"/>
  <c r="I164" i="26"/>
  <c r="F31" i="20" s="1"/>
  <c r="L104" i="26"/>
  <c r="L168" i="26" s="1"/>
  <c r="F168" i="26"/>
  <c r="L171" i="26"/>
  <c r="F171" i="26"/>
  <c r="F166" i="26"/>
  <c r="L102" i="26"/>
  <c r="L166" i="26" s="1"/>
  <c r="L105" i="26"/>
  <c r="L169" i="26" s="1"/>
  <c r="F169" i="26"/>
  <c r="L71" i="26"/>
  <c r="L160" i="26" s="1"/>
  <c r="F160" i="26"/>
  <c r="F170" i="26"/>
  <c r="L106" i="26"/>
  <c r="L170" i="26" s="1"/>
  <c r="I174" i="26"/>
  <c r="L103" i="26"/>
  <c r="L167" i="26" s="1"/>
  <c r="F167" i="26"/>
  <c r="L173" i="17" l="1"/>
  <c r="L175" i="17" s="1"/>
  <c r="L98" i="25"/>
  <c r="L170" i="25" s="1"/>
  <c r="F175" i="17"/>
  <c r="I176" i="17"/>
  <c r="E188" i="17" s="1"/>
  <c r="K188" i="17" s="1"/>
  <c r="L99" i="25"/>
  <c r="L171" i="25" s="1"/>
  <c r="J52" i="19"/>
  <c r="J55" i="19" s="1"/>
  <c r="I66" i="19" s="1"/>
  <c r="H54" i="20"/>
  <c r="H57" i="20" s="1"/>
  <c r="G68" i="20" s="1"/>
  <c r="F172" i="25"/>
  <c r="F175" i="25" s="1"/>
  <c r="L70" i="25"/>
  <c r="L166" i="25" s="1"/>
  <c r="L68" i="25"/>
  <c r="L163" i="25" s="1"/>
  <c r="L66" i="25"/>
  <c r="L161" i="25" s="1"/>
  <c r="L164" i="25"/>
  <c r="F162" i="25"/>
  <c r="F167" i="25" s="1"/>
  <c r="L72" i="26"/>
  <c r="L161" i="26" s="1"/>
  <c r="F159" i="26"/>
  <c r="L73" i="26"/>
  <c r="L162" i="26" s="1"/>
  <c r="F163" i="26"/>
  <c r="I161" i="24"/>
  <c r="L72" i="24"/>
  <c r="L161" i="24" s="1"/>
  <c r="I160" i="24"/>
  <c r="L71" i="24"/>
  <c r="L160" i="24" s="1"/>
  <c r="I159" i="24"/>
  <c r="L70" i="24"/>
  <c r="L159" i="24" s="1"/>
  <c r="I163" i="24"/>
  <c r="L74" i="24"/>
  <c r="L163" i="24" s="1"/>
  <c r="I162" i="24"/>
  <c r="L73" i="24"/>
  <c r="L162" i="24" s="1"/>
  <c r="F174" i="24"/>
  <c r="F175" i="24" s="1"/>
  <c r="H186" i="24" s="1"/>
  <c r="L174" i="24"/>
  <c r="I167" i="25"/>
  <c r="I176" i="25" s="1"/>
  <c r="E188" i="25" s="1"/>
  <c r="K188" i="25" s="1"/>
  <c r="O37" i="19"/>
  <c r="K64" i="19" s="1"/>
  <c r="K68" i="19" s="1"/>
  <c r="M68" i="19" s="1"/>
  <c r="F167" i="17"/>
  <c r="L167" i="17"/>
  <c r="L174" i="26"/>
  <c r="I175" i="26"/>
  <c r="H187" i="26" s="1"/>
  <c r="E68" i="20"/>
  <c r="E66" i="20"/>
  <c r="F174" i="26"/>
  <c r="G64" i="19"/>
  <c r="G66" i="19"/>
  <c r="L175" i="25" l="1"/>
  <c r="F176" i="17"/>
  <c r="E187" i="17" s="1"/>
  <c r="K187" i="17" s="1"/>
  <c r="I64" i="19"/>
  <c r="M64" i="19" s="1"/>
  <c r="L164" i="26"/>
  <c r="L175" i="26" s="1"/>
  <c r="H185" i="26" s="1"/>
  <c r="G66" i="20"/>
  <c r="L167" i="25"/>
  <c r="F164" i="26"/>
  <c r="I164" i="24"/>
  <c r="L164" i="24"/>
  <c r="F176" i="25"/>
  <c r="E187" i="25" s="1"/>
  <c r="K187" i="25" s="1"/>
  <c r="K66" i="19"/>
  <c r="M66" i="19" s="1"/>
  <c r="L176" i="17"/>
  <c r="E186" i="17" s="1"/>
  <c r="K186" i="17" s="1"/>
  <c r="E31" i="20" l="1"/>
  <c r="F30" i="20"/>
  <c r="L176" i="25"/>
  <c r="E186" i="25" s="1"/>
  <c r="K186" i="25" s="1"/>
  <c r="F175" i="26"/>
  <c r="H186" i="26" s="1"/>
  <c r="I175" i="24"/>
  <c r="H187" i="24" s="1"/>
  <c r="L175" i="24"/>
  <c r="H185" i="24" s="1"/>
  <c r="D31" i="20" l="1"/>
  <c r="I31" i="20" s="1"/>
  <c r="J31" i="20" s="1"/>
  <c r="E39" i="20"/>
  <c r="C68" i="20" s="1"/>
  <c r="F39" i="20"/>
  <c r="C70" i="20" s="1"/>
  <c r="D30" i="20"/>
  <c r="D39" i="20" s="1"/>
  <c r="C66" i="20" s="1"/>
  <c r="I30" i="20" l="1"/>
  <c r="J30" i="20" s="1"/>
  <c r="J39" i="20" s="1"/>
  <c r="I66" i="20" s="1"/>
  <c r="K66" i="20" s="1"/>
  <c r="I68" i="20" l="1"/>
  <c r="K68" i="20" s="1"/>
  <c r="I70" i="20"/>
  <c r="K7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K54" authorId="0" shapeId="0" xr:uid="{A9065845-D594-4DE5-B9BF-06878D30CDC6}">
      <text>
        <r>
          <rPr>
            <sz val="9"/>
            <color indexed="81"/>
            <rFont val="Tahoma"/>
            <family val="2"/>
          </rPr>
          <t>This is an example comment.  Some of the cells in the worksheets contain comments like this one.  Put the mouse cursor on the red rectangle to view the comments.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A11" authorId="0" shapeId="0" xr:uid="{87D3C550-262E-4C29-B958-6818A6E25B44}">
      <text>
        <r>
          <rPr>
            <sz val="9"/>
            <color indexed="81"/>
            <rFont val="Tahoma"/>
            <family val="2"/>
          </rPr>
          <t>Texas AADT data are available from the TxDOT Statewide Planning Map:
https://www.txdot.gov/apps/statewide_mapping/StatewidePlanningMap.html
Click the link to the right to access the site.</t>
        </r>
      </text>
    </comment>
    <comment ref="A18" authorId="0" shapeId="0" xr:uid="{C8BBA067-5574-4645-9EB2-0FF09D5CBB21}">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Commercial driveways provide access to establishments that serve retail customers.  Commercial sites with no restriction on access along an entire property frontage are generally counted as two driveways.</t>
        </r>
      </text>
    </comment>
    <comment ref="A19" authorId="0" shapeId="0" xr:uid="{12788C0E-ED54-4506-93DA-D0E22718C011}">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Commercial driveways provide access to establishments that serve retail customers.  Commercial sites with no restriction on access along an entire property frontage are generally counted as two driveways.</t>
        </r>
      </text>
    </comment>
    <comment ref="A20" authorId="0" shapeId="0" xr:uid="{36FD5587-702C-4C68-AEEB-4BB4B77A1AB4}">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Industrial/institutional driveways serve factories, warehouses, schools, hospitals, churches, offices, public facilities, and other places of employment.</t>
        </r>
      </text>
    </comment>
    <comment ref="A21" authorId="0" shapeId="0" xr:uid="{77F6E989-B992-4CD3-AE61-A07080E9014D}">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Industrial/institutional driveways serve factories, warehouses, schools, hospitals, churches, offices, public facilities, and other places of employment.</t>
        </r>
      </text>
    </comment>
    <comment ref="A22" authorId="0" shapeId="0" xr:uid="{76DBAEAC-F3C4-41DD-87D5-42EEF3C79DA2}">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Residential driveways serve single- and multiple-family dwellings.</t>
        </r>
      </text>
    </comment>
    <comment ref="A23" authorId="0" shapeId="0" xr:uid="{2EEF8568-D9D7-4F91-8F52-4E56BC3E4EB2}">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Residential driveways serve single- and multiple-family dwellings.</t>
        </r>
      </text>
    </comment>
    <comment ref="A27" authorId="0" shapeId="0" xr:uid="{7F63B166-94B3-43BE-B1EC-2D17E8D3947E}">
      <text>
        <r>
          <rPr>
            <sz val="9"/>
            <color indexed="81"/>
            <rFont val="Tahoma"/>
            <family val="2"/>
          </rPr>
          <t>If offset is greater than 30 or no roadside fixed objects are present, input 30.</t>
        </r>
      </text>
    </comment>
    <comment ref="A28" authorId="0" shapeId="0" xr:uid="{95D721B2-8488-4B91-89B5-EC8634781ED2}">
      <text>
        <r>
          <rPr>
            <sz val="9"/>
            <color indexed="81"/>
            <rFont val="Tahoma"/>
            <family val="2"/>
          </rPr>
          <t>The models in this worksheet were calibrated using Texas data in TxDOT Research Project 0-7083.  This value should be set to 1.0 unless an additional data analysis is conducted to capture temporal trends in the years following the completion of that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A11" authorId="0" shapeId="0" xr:uid="{745D3146-2430-4C0C-B169-60D7AAC1A1A9}">
      <text>
        <r>
          <rPr>
            <sz val="9"/>
            <color indexed="81"/>
            <rFont val="Tahoma"/>
            <family val="2"/>
          </rPr>
          <t>Texas AADT data are available from the TxDOT Statewide Planning Map:
https://www.txdot.gov/apps/statewide_mapping/StatewidePlanningMap.html
Click the link to the right to access the site.</t>
        </r>
      </text>
    </comment>
    <comment ref="A18" authorId="0" shapeId="0" xr:uid="{104F0B51-7E53-49AD-8EDD-D7BE608FFE47}">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Commercial driveways provide access to establishments that serve retail customers.  Commercial sites with no restriction on access along an entire property frontage are generally counted as two driveways.</t>
        </r>
      </text>
    </comment>
    <comment ref="A19" authorId="0" shapeId="0" xr:uid="{7732697F-3F7B-4FC4-934A-F3E9974B4AF5}">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Commercial driveways provide access to establishments that serve retail customers.  Commercial sites with no restriction on access along an entire property frontage are generally counted as two driveways.</t>
        </r>
      </text>
    </comment>
    <comment ref="A20" authorId="0" shapeId="0" xr:uid="{421F5037-AD66-4641-BCCD-0728BF1E5EE8}">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Industrial/institutional driveways serve factories, warehouses, schools, hospitals, churches, offices, public facilities, and other places of employment.</t>
        </r>
      </text>
    </comment>
    <comment ref="A21" authorId="0" shapeId="0" xr:uid="{02CF103A-8D2E-4872-ADB7-D3CBC1F09354}">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Industrial/institutional driveways serve factories, warehouses, schools, hospitals, churches, offices, public facilities, and other places of employment.</t>
        </r>
      </text>
    </comment>
    <comment ref="A22" authorId="0" shapeId="0" xr:uid="{3C1A26AD-3D58-47BF-942E-D17B658C0E88}">
      <text>
        <r>
          <rPr>
            <sz val="9"/>
            <color indexed="81"/>
            <rFont val="Tahoma"/>
            <family val="2"/>
          </rPr>
          <t>Major driveways are those that serve sites with 50 or more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Residential driveways serve single- and multiple-family dwellings.</t>
        </r>
      </text>
    </comment>
    <comment ref="A23" authorId="0" shapeId="0" xr:uid="{0A7DD3C8-484D-4F41-959F-06FC989E2201}">
      <text>
        <r>
          <rPr>
            <sz val="9"/>
            <color indexed="81"/>
            <rFont val="Tahoma"/>
            <family val="2"/>
          </rPr>
          <t>Minor driveways are those that serve sites with less than 50 parking spaces.  It is not intended that an exact count of the number of parking spaces be made for each site.  Driveways can be readily classified as major or minor from a quick review of aerial photographs that show parking areas or through user judgment based on the character of the establishment served by the driveway.
Residential driveways serve single- and multiple-family dwellings.</t>
        </r>
      </text>
    </comment>
    <comment ref="A27" authorId="0" shapeId="0" xr:uid="{60061166-28E5-434E-A3C0-DEEF7C559198}">
      <text>
        <r>
          <rPr>
            <sz val="9"/>
            <color indexed="81"/>
            <rFont val="Tahoma"/>
            <family val="2"/>
          </rPr>
          <t>If offset is greater than 30 or no roadside fixed objects are present, input 30.</t>
        </r>
      </text>
    </comment>
    <comment ref="A28" authorId="0" shapeId="0" xr:uid="{D169E7ED-37A5-49C1-895F-D6F4B511EBFF}">
      <text>
        <r>
          <rPr>
            <sz val="9"/>
            <color indexed="81"/>
            <rFont val="Tahoma"/>
            <family val="2"/>
          </rPr>
          <t>The models in this worksheet were calibrated using Texas data in TxDOT Research Project 0-7083.  This value should be set to 1.0 unless an additional data analysis is conducted to capture temporal trends in the years following the completion of that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B4" authorId="0" shapeId="0" xr:uid="{EE53695F-B725-4918-9F9A-38BBB4A1CAE6}">
      <text>
        <r>
          <rPr>
            <sz val="9"/>
            <color indexed="81"/>
            <rFont val="Tahoma"/>
            <family val="2"/>
          </rPr>
          <t>Select "Yes" to use values derived from an analysis of local crash data.  Select "No" to use unadjusted values from the Highway Safety Manual.</t>
        </r>
      </text>
    </comment>
    <comment ref="K4" authorId="0" shapeId="0" xr:uid="{848AEB4E-13D9-42F8-B011-865551EC1708}">
      <text>
        <r>
          <rPr>
            <sz val="9"/>
            <color indexed="81"/>
            <rFont val="Tahoma"/>
            <family val="2"/>
          </rPr>
          <t>Select "Yes" to use values derived from an analysis of local crash data.  Select "No" to use unadjusted values from the Highway Safety Manual.</t>
        </r>
      </text>
    </comment>
    <comment ref="B29" authorId="0" shapeId="0" xr:uid="{6777C01F-979B-4AFD-83DA-A0C8A8E5FDF9}">
      <text>
        <r>
          <rPr>
            <sz val="9"/>
            <color indexed="81"/>
            <rFont val="Tahoma"/>
            <family val="2"/>
          </rPr>
          <t>Select "Yes" to use values derived from an analysis of local crash data.  Select "No" to use unadjusted values from the Highway Safety Manual.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A10" authorId="0" shapeId="0" xr:uid="{BEE92FB7-8DD3-44CE-9198-CFB44E6C77D4}">
      <text>
        <r>
          <rPr>
            <sz val="9"/>
            <color indexed="81"/>
            <rFont val="Tahoma"/>
            <family val="2"/>
          </rPr>
          <t>Texas AADT data are available from the TxDOT Statewide Planning Map:
https://www.txdot.gov/apps/statewide_mapping/StatewidePlanningMap.html
Click the link to the right to access the site.</t>
        </r>
      </text>
    </comment>
    <comment ref="A15" authorId="0" shapeId="0" xr:uid="{CB325116-E66B-457A-B6F8-1BFF4DE97D8C}">
      <text>
        <r>
          <rPr>
            <sz val="9"/>
            <color indexed="81"/>
            <rFont val="Tahoma"/>
            <family val="2"/>
          </rPr>
          <t>The models in this worksheet were calibrated using Texas data in TxDOT Research Project 0-7083.  This value should be set to 1.0 unless an additional data analysis is conducted to capture temporal trends in the years following the completion of that project.</t>
        </r>
      </text>
    </comment>
    <comment ref="A29" authorId="0" shapeId="0" xr:uid="{790FAACF-46FA-438F-AA63-D4780D677C7E}">
      <text>
        <r>
          <rPr>
            <sz val="9"/>
            <color indexed="81"/>
            <rFont val="Tahoma"/>
            <family val="2"/>
          </rPr>
          <t>The signalized intersection SPFs assume that there are some pedestrians present (value &gt; 0), so this input value should be a whole number of 1 or greater.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A10" authorId="0" shapeId="0" xr:uid="{69300A23-303E-49BB-A7A7-D98BCA3F0E06}">
      <text>
        <r>
          <rPr>
            <sz val="9"/>
            <color indexed="81"/>
            <rFont val="Tahoma"/>
            <family val="2"/>
          </rPr>
          <t>Texas AADT data are available from the TxDOT Statewide Planning Map:
https://www.txdot.gov/apps/statewide_mapping/StatewidePlanningMap.html
Click the link to the right to access the site.</t>
        </r>
      </text>
    </comment>
    <comment ref="A15" authorId="0" shapeId="0" xr:uid="{184154FD-ABE3-4D64-AB7C-0F6D0DC06470}">
      <text>
        <r>
          <rPr>
            <sz val="9"/>
            <color indexed="81"/>
            <rFont val="Tahoma"/>
            <family val="2"/>
          </rPr>
          <t>The models in this worksheet were calibrated using Texas data in TxDOT Research Project 0-7083.  This value should be set to 1.0 unless an additional data analysis is conducted to capture temporal trends in the years following the completion of that project.</t>
        </r>
      </text>
    </comment>
    <comment ref="A29" authorId="0" shapeId="0" xr:uid="{0E0D2AA0-96C8-42D5-8DB1-B9FC0F623FE7}">
      <text>
        <r>
          <rPr>
            <sz val="9"/>
            <color indexed="81"/>
            <rFont val="Tahoma"/>
            <family val="2"/>
          </rPr>
          <t>The signalized intersection SPFs assume that there are some pedestrians present (value &gt; 0), so this input value should be a whole number of 1 or greater.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B4" authorId="0" shapeId="0" xr:uid="{18E6679E-6958-4DA7-8B86-B7AFE65DC8CF}">
      <text>
        <r>
          <rPr>
            <sz val="9"/>
            <color indexed="81"/>
            <rFont val="Tahoma"/>
            <family val="2"/>
          </rPr>
          <t>Select "Yes" to use values derived from an analysis of local crash data.  Select "No" to use unadjusted values from the Highway Safety Manual.</t>
        </r>
      </text>
    </comment>
    <comment ref="M4" authorId="0" shapeId="0" xr:uid="{F854A27E-E51D-4755-96A0-D2364022C173}">
      <text>
        <r>
          <rPr>
            <sz val="9"/>
            <color indexed="81"/>
            <rFont val="Tahoma"/>
            <family val="2"/>
          </rPr>
          <t>Select "Yes" to use values derived from an analysis of local crash data.  Select "No" to use unadjusted values from the Highway Safety Manual.</t>
        </r>
      </text>
    </comment>
    <comment ref="B27" authorId="0" shapeId="0" xr:uid="{1E98E773-6522-431A-8CCE-EB54B13F3315}">
      <text>
        <r>
          <rPr>
            <sz val="9"/>
            <color indexed="81"/>
            <rFont val="Tahoma"/>
            <family val="2"/>
          </rPr>
          <t>Select "Yes" to use values derived from an analysis of local crash data.  Select "No" to use unadjusted values from the Highway Safety Manual.</t>
        </r>
      </text>
    </comment>
    <comment ref="B41" authorId="0" shapeId="0" xr:uid="{3FAFB4E3-54AE-42BE-AB3D-3A5EC7BF8E8A}">
      <text>
        <r>
          <rPr>
            <sz val="9"/>
            <color indexed="81"/>
            <rFont val="Tahoma"/>
            <family val="2"/>
          </rPr>
          <t>Select "Yes" to use values derived from an analysis of local crash data.  Select "No" to use unadjusted values from the Highway Safety Manual.</t>
        </r>
      </text>
    </comment>
    <comment ref="B62" authorId="0" shapeId="0" xr:uid="{F01CC085-1008-4A17-8456-BAF195C1230B}">
      <text>
        <r>
          <rPr>
            <sz val="9"/>
            <color indexed="81"/>
            <rFont val="Tahoma"/>
            <family val="2"/>
          </rPr>
          <t>Select "Yes" to use values derived from an analysis of local crash data.  Select "No" to use unadjusted values from the Highway Safety Manual.</t>
        </r>
      </text>
    </comment>
    <comment ref="M65" authorId="0" shapeId="0" xr:uid="{9435BF28-95CF-4724-A218-F8554BF864CE}">
      <text>
        <r>
          <rPr>
            <sz val="9"/>
            <color indexed="81"/>
            <rFont val="Tahoma"/>
            <family val="2"/>
          </rPr>
          <t>Select "Yes" to use values derived from an analysis of local crash data.  Select "No" to use unadjusted values from the Highway Safety Manual.</t>
        </r>
      </text>
    </comment>
    <comment ref="M73" authorId="0" shapeId="0" xr:uid="{14818D2B-540F-4666-9615-CE7DA9AC85B7}">
      <text>
        <r>
          <rPr>
            <sz val="9"/>
            <color indexed="81"/>
            <rFont val="Tahoma"/>
            <family val="2"/>
          </rPr>
          <t>Select "Yes" to use values derived from an analysis of local crash data.  Select "No" to use unadjusted values from the Highway Safety Manual.</t>
        </r>
      </text>
    </comment>
    <comment ref="B85" authorId="0" shapeId="0" xr:uid="{8AD438B3-DA30-414B-BD00-AB9D350AE1FF}">
      <text>
        <r>
          <rPr>
            <sz val="9"/>
            <color indexed="81"/>
            <rFont val="Tahoma"/>
            <family val="2"/>
          </rPr>
          <t>Select "Yes" to use values derived from an analysis of local crash data.  Select "No" to use unadjusted values from the Highway Safety Manual.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Pratt, Mike</author>
  </authors>
  <commentList>
    <comment ref="G9" authorId="0" shapeId="0" xr:uid="{26C4DF72-DD80-4DEA-AC81-0BB75ACADC08}">
      <text>
        <r>
          <rPr>
            <sz val="9"/>
            <color indexed="81"/>
            <rFont val="Tahoma"/>
            <family val="2"/>
          </rPr>
          <t>Enter a value for every segment and intersection to apply the empirical Bayes method.  Leave this entire column blank to tabulate crash frequencies without applying the empirical Bayes method.</t>
        </r>
      </text>
    </comment>
  </commentList>
</comments>
</file>

<file path=xl/sharedStrings.xml><?xml version="1.0" encoding="utf-8"?>
<sst xmlns="http://schemas.openxmlformats.org/spreadsheetml/2006/main" count="2896" uniqueCount="821">
  <si>
    <t>General Information</t>
  </si>
  <si>
    <t>Analyst</t>
  </si>
  <si>
    <t>Agency or Company</t>
  </si>
  <si>
    <t>Date Performed</t>
  </si>
  <si>
    <t>Input Data</t>
  </si>
  <si>
    <t>Length of segment, L (mi)</t>
  </si>
  <si>
    <t>AADT (veh/day)</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</si>
  <si>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</si>
  <si>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</si>
  <si>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</si>
  <si>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</si>
  <si>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</si>
  <si>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</si>
  <si>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</si>
  <si>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</si>
  <si>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</si>
  <si>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</si>
  <si>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</si>
  <si>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</si>
  <si>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</si>
  <si>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</si>
  <si>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</si>
  <si>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</si>
  <si>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</si>
  <si>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</si>
  <si>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</si>
  <si>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</si>
  <si>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</si>
  <si>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</si>
  <si>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</si>
  <si>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</si>
  <si>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</si>
  <si>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</si>
  <si>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</si>
  <si>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</si>
  <si>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</si>
  <si>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</si>
  <si>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</si>
  <si>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</si>
  <si>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t>Angle collision</t>
  </si>
  <si>
    <t>Head-on collision</t>
  </si>
  <si>
    <t>Rear-end collision</t>
  </si>
  <si>
    <t>Crash severity level</t>
  </si>
  <si>
    <t>Shoulder Type</t>
  </si>
  <si>
    <t>Lane Width</t>
  </si>
  <si>
    <t>TWLTL</t>
  </si>
  <si>
    <t>Lighting</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</si>
  <si>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</si>
  <si>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</si>
  <si>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</si>
  <si>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</si>
  <si>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</si>
  <si>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</si>
  <si>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</si>
  <si>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</si>
  <si>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</si>
  <si>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</si>
  <si>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</si>
  <si>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</si>
  <si>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</si>
  <si>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</si>
  <si>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</si>
  <si>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</si>
  <si>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</si>
  <si>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Present (1 lane)</t>
  </si>
  <si>
    <t>Present (2 lanes)</t>
  </si>
  <si>
    <t>Local</t>
  </si>
  <si>
    <t>Yes</t>
  </si>
  <si>
    <t>No</t>
  </si>
  <si>
    <t>Locally-Derived Values?</t>
  </si>
  <si>
    <t>Intersection</t>
  </si>
  <si>
    <t>Intersection lighting (present/not present)</t>
  </si>
  <si>
    <t>Itype</t>
  </si>
  <si>
    <t>3ST</t>
  </si>
  <si>
    <t>4ST</t>
  </si>
  <si>
    <t>4SG</t>
  </si>
  <si>
    <t>Lapproach</t>
  </si>
  <si>
    <t>Rapproach</t>
  </si>
  <si>
    <t>Ilight</t>
  </si>
  <si>
    <t>CMF for Left-Turn Lanes</t>
  </si>
  <si>
    <t>CMF for Right-Turn Lanes</t>
  </si>
  <si>
    <t>Combined CMF</t>
  </si>
  <si>
    <t>Differ</t>
  </si>
  <si>
    <t>Median width (ft) - for divided only</t>
  </si>
  <si>
    <t>CMF for Median Width</t>
  </si>
  <si>
    <t>(1)*(2)*(3)*(4)*(5)</t>
  </si>
  <si>
    <t>SPF Coefficients</t>
  </si>
  <si>
    <t>a</t>
  </si>
  <si>
    <t>b</t>
  </si>
  <si>
    <t>Mwidth</t>
  </si>
  <si>
    <t>Divided</t>
  </si>
  <si>
    <t>Undivided</t>
  </si>
  <si>
    <t>Division</t>
  </si>
  <si>
    <t>Sideswipe</t>
  </si>
  <si>
    <t>Other</t>
  </si>
  <si>
    <t>Sslope</t>
  </si>
  <si>
    <t>1:2 or Steeper</t>
  </si>
  <si>
    <t>1:4</t>
  </si>
  <si>
    <t>1:5</t>
  </si>
  <si>
    <t>1:6</t>
  </si>
  <si>
    <t>1:7 or Flatter</t>
  </si>
  <si>
    <t>4U</t>
  </si>
  <si>
    <t>Shld2</t>
  </si>
  <si>
    <t>CMF</t>
  </si>
  <si>
    <t>4D</t>
  </si>
  <si>
    <t>Iapproach</t>
  </si>
  <si>
    <t>Intersection 1</t>
  </si>
  <si>
    <t>Intersection 2</t>
  </si>
  <si>
    <t>COMBINED (sum of column)</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</si>
  <si>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</si>
  <si>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</si>
  <si>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ROADWAY SEGMENTS</t>
  </si>
  <si>
    <t>INTERSECTIONS</t>
  </si>
  <si>
    <t>Segment 3</t>
  </si>
  <si>
    <t>Segment 4</t>
  </si>
  <si>
    <t>Intersection 3</t>
  </si>
  <si>
    <t>Intersection 4</t>
  </si>
  <si>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</si>
  <si>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</si>
  <si>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</si>
  <si>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</si>
  <si>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</si>
  <si>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</si>
  <si>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</si>
  <si>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</si>
  <si>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</si>
  <si>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</si>
  <si>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</si>
  <si>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</si>
  <si>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t>Equation A-5 from Part C Appendix</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</si>
  <si>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</si>
  <si>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</si>
  <si>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</si>
  <si>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</si>
  <si>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</si>
  <si>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</si>
  <si>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</si>
  <si>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</si>
  <si>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</si>
  <si>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</si>
  <si>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Worksheet Name</t>
  </si>
  <si>
    <t>Contents</t>
  </si>
  <si>
    <t>Overview</t>
  </si>
  <si>
    <t>Instructions</t>
  </si>
  <si>
    <t>Current worksheet displaying overview, summary</t>
  </si>
  <si>
    <t>of spreadsheet worksheets, and description of</t>
  </si>
  <si>
    <t>color coding included in the worksheets.</t>
  </si>
  <si>
    <t xml:space="preserve">Analysis for project-specific EB analysis using </t>
  </si>
  <si>
    <t>Analysis for site-specific EB analysis using</t>
  </si>
  <si>
    <t>Data in this worksheet has been used to</t>
  </si>
  <si>
    <t>help define the pull-down options in the</t>
  </si>
  <si>
    <t>analysis worksheets.  There is no need for a</t>
  </si>
  <si>
    <t>user to work within this worksheet, but the</t>
  </si>
  <si>
    <t>worksheet should be retained so that the</t>
  </si>
  <si>
    <t>other worksheets can continue to use the</t>
  </si>
  <si>
    <t>options included in this sheet.</t>
  </si>
  <si>
    <t>Color Coding in the Worksheets</t>
  </si>
  <si>
    <t>Color Used</t>
  </si>
  <si>
    <t>Type of Information Required from User</t>
  </si>
  <si>
    <t>to improve analysis for local crash distribution</t>
  </si>
  <si>
    <t>worksheets will then use the local values</t>
  </si>
  <si>
    <t>instead of the HSM default values.</t>
  </si>
  <si>
    <t>SH 123</t>
  </si>
  <si>
    <t>MP 0.0 to MP 1.5</t>
  </si>
  <si>
    <t>Anywhere, USA</t>
  </si>
  <si>
    <t>Worksheet 1A -- General Information and Input Data for Urban and Suburban Roadway Segments</t>
  </si>
  <si>
    <t>Type of on-street parking (none/parallel/angle)</t>
  </si>
  <si>
    <t>Proportion of curb length with on-street parking</t>
  </si>
  <si>
    <t>Lighting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</si>
  <si>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</si>
  <si>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</si>
  <si>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</si>
  <si>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</si>
  <si>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</si>
  <si>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</si>
  <si>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</si>
  <si>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</si>
  <si>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Roadside fixed object density (fixed objects / mi)</t>
  </si>
  <si>
    <t>Urban / Suburban Fields:</t>
  </si>
  <si>
    <t>Rtype</t>
  </si>
  <si>
    <t>3T</t>
  </si>
  <si>
    <t>2U</t>
  </si>
  <si>
    <t>UMedWidth</t>
  </si>
  <si>
    <t>PresOrNot</t>
  </si>
  <si>
    <t>None</t>
  </si>
  <si>
    <t>Worksheet 1B -- Crash Modification Factors for Urban and Suburban Roadway Segments</t>
  </si>
  <si>
    <t>CMF for On-Street Parking</t>
  </si>
  <si>
    <t>CMF 1r</t>
  </si>
  <si>
    <t>from Equation 12-32</t>
  </si>
  <si>
    <t>Type of Parking and Land Use</t>
  </si>
  <si>
    <t>Parallel Parking</t>
  </si>
  <si>
    <t>Residential/  Other</t>
  </si>
  <si>
    <t>Commercial or Industrial/ Institutional</t>
  </si>
  <si>
    <t>Angle Parking</t>
  </si>
  <si>
    <t>Road Type</t>
  </si>
  <si>
    <t>5T</t>
  </si>
  <si>
    <t>Parallel (Residential)</t>
  </si>
  <si>
    <t>Parallel (Comm/Ind)</t>
  </si>
  <si>
    <t>Angle (Residential)</t>
  </si>
  <si>
    <t>Angle (Comm/Ind)</t>
  </si>
  <si>
    <t>OnStreetType</t>
  </si>
  <si>
    <t>CMF for Roadside Fixed Objects</t>
  </si>
  <si>
    <t>CMF 2r</t>
  </si>
  <si>
    <t>from Equation 12-33</t>
  </si>
  <si>
    <t>Offset to fixed objects</t>
  </si>
  <si>
    <r>
      <t>(O</t>
    </r>
    <r>
      <rPr>
        <b/>
        <vertAlign val="subscript"/>
        <sz val="10"/>
        <rFont val="Arial"/>
        <family val="2"/>
      </rPr>
      <t>fo</t>
    </r>
    <r>
      <rPr>
        <b/>
        <sz val="10"/>
        <rFont val="Arial"/>
        <family val="2"/>
      </rPr>
      <t>) (ft)</t>
    </r>
  </si>
  <si>
    <t>Fixed-Object Offset Factor</t>
  </si>
  <si>
    <r>
      <t>(f</t>
    </r>
    <r>
      <rPr>
        <b/>
        <vertAlign val="subscript"/>
        <sz val="10"/>
        <rFont val="Arial"/>
        <family val="2"/>
      </rPr>
      <t>offset</t>
    </r>
    <r>
      <rPr>
        <b/>
        <sz val="10"/>
        <rFont val="Arial"/>
        <family val="2"/>
      </rPr>
      <t>)</t>
    </r>
  </si>
  <si>
    <t>OffsetFO</t>
  </si>
  <si>
    <r>
      <rPr>
        <sz val="10"/>
        <rFont val="Calibri"/>
        <family val="2"/>
      </rPr>
      <t>≥</t>
    </r>
    <r>
      <rPr>
        <sz val="10"/>
        <rFont val="Arial"/>
        <family val="2"/>
      </rPr>
      <t xml:space="preserve"> </t>
    </r>
    <r>
      <rPr>
        <sz val="10"/>
        <rFont val="Arial"/>
        <family val="2"/>
      </rPr>
      <t>30</t>
    </r>
  </si>
  <si>
    <r>
      <rPr>
        <sz val="10"/>
        <rFont val="Calibri"/>
        <family val="2"/>
      </rPr>
      <t xml:space="preserve">≥ </t>
    </r>
    <r>
      <rPr>
        <sz val="10"/>
        <rFont val="Arial"/>
        <family val="2"/>
      </rPr>
      <t>30</t>
    </r>
  </si>
  <si>
    <r>
      <t>Proportion of Fixed-Object Collisions (p</t>
    </r>
    <r>
      <rPr>
        <b/>
        <vertAlign val="subscript"/>
        <sz val="10"/>
        <rFont val="Arial"/>
        <family val="2"/>
      </rPr>
      <t>fo</t>
    </r>
    <r>
      <rPr>
        <b/>
        <sz val="10"/>
        <rFont val="Arial"/>
        <family val="2"/>
      </rPr>
      <t>)</t>
    </r>
  </si>
  <si>
    <t>CMF 3r</t>
  </si>
  <si>
    <t>Median Width (ft)</t>
  </si>
  <si>
    <t>CMF 4r</t>
  </si>
  <si>
    <t>from Equation 12-34</t>
  </si>
  <si>
    <r>
      <t>Fatal and Injury (p</t>
    </r>
    <r>
      <rPr>
        <b/>
        <vertAlign val="subscript"/>
        <sz val="10"/>
        <rFont val="Arial"/>
        <family val="2"/>
      </rPr>
      <t>inr</t>
    </r>
    <r>
      <rPr>
        <b/>
        <sz val="10"/>
        <rFont val="Arial"/>
        <family val="2"/>
      </rPr>
      <t>)</t>
    </r>
  </si>
  <si>
    <r>
      <t>PDO (p</t>
    </r>
    <r>
      <rPr>
        <b/>
        <vertAlign val="subscript"/>
        <sz val="10"/>
        <rFont val="Arial"/>
        <family val="2"/>
      </rPr>
      <t>pnr</t>
    </r>
    <r>
      <rPr>
        <b/>
        <sz val="10"/>
        <rFont val="Arial"/>
        <family val="2"/>
      </rPr>
      <t>)</t>
    </r>
  </si>
  <si>
    <r>
      <t>(p</t>
    </r>
    <r>
      <rPr>
        <b/>
        <vertAlign val="subscript"/>
        <sz val="10"/>
        <rFont val="Arial"/>
        <family val="2"/>
      </rPr>
      <t>nr</t>
    </r>
    <r>
      <rPr>
        <b/>
        <sz val="10"/>
        <rFont val="Arial"/>
        <family val="2"/>
      </rPr>
      <t>)</t>
    </r>
  </si>
  <si>
    <r>
      <t>p</t>
    </r>
    <r>
      <rPr>
        <vertAlign val="subscript"/>
        <sz val="10"/>
        <rFont val="Arial"/>
        <family val="2"/>
      </rPr>
      <t>inr</t>
    </r>
    <r>
      <rPr>
        <sz val="10"/>
        <rFont val="Arial"/>
        <family val="2"/>
      </rPr>
      <t>:</t>
    </r>
  </si>
  <si>
    <r>
      <t>p</t>
    </r>
    <r>
      <rPr>
        <vertAlign val="subscript"/>
        <sz val="10"/>
        <rFont val="Arial"/>
        <family val="2"/>
      </rPr>
      <t>pnr</t>
    </r>
    <r>
      <rPr>
        <sz val="10"/>
        <rFont val="Arial"/>
        <family val="2"/>
      </rPr>
      <t>:</t>
    </r>
  </si>
  <si>
    <r>
      <t>p</t>
    </r>
    <r>
      <rPr>
        <vertAlign val="subscript"/>
        <sz val="10"/>
        <rFont val="Arial"/>
        <family val="2"/>
      </rPr>
      <t>nr</t>
    </r>
    <r>
      <rPr>
        <sz val="10"/>
        <rFont val="Arial"/>
        <family val="2"/>
      </rPr>
      <t>:</t>
    </r>
  </si>
  <si>
    <t>CMF 5r</t>
  </si>
  <si>
    <t>from Section 12.7.1</t>
  </si>
  <si>
    <t>Worksheet 1C -- Multiple-Vehicle Nondriveway Collisions by Severity Level for Urban and Suburban Roadway Segments</t>
  </si>
  <si>
    <r>
      <t>Initial N</t>
    </r>
    <r>
      <rPr>
        <b/>
        <vertAlign val="subscript"/>
        <sz val="10"/>
        <rFont val="Arial"/>
        <family val="2"/>
      </rPr>
      <t>brmv</t>
    </r>
  </si>
  <si>
    <t>Proportion of Total Crashes</t>
  </si>
  <si>
    <r>
      <t>Adjusted N</t>
    </r>
    <r>
      <rPr>
        <b/>
        <vertAlign val="subscript"/>
        <sz val="10"/>
        <rFont val="Arial"/>
        <family val="2"/>
      </rPr>
      <t>brmv</t>
    </r>
  </si>
  <si>
    <r>
      <t>Predicted N</t>
    </r>
    <r>
      <rPr>
        <b/>
        <vertAlign val="subscript"/>
        <sz val="10"/>
        <rFont val="Arial"/>
        <family val="2"/>
      </rPr>
      <t>brmv</t>
    </r>
  </si>
  <si>
    <t>from Equation 12-10</t>
  </si>
  <si>
    <r>
      <t>(4)</t>
    </r>
    <r>
      <rPr>
        <vertAlign val="subscript"/>
        <sz val="10"/>
        <rFont val="Arial"/>
        <family val="2"/>
      </rPr>
      <t>TOTAL</t>
    </r>
    <r>
      <rPr>
        <sz val="10"/>
        <rFont val="Arial"/>
        <family val="2"/>
      </rPr>
      <t>*(5)</t>
    </r>
  </si>
  <si>
    <t>(6) from Worksheet 1B</t>
  </si>
  <si>
    <t>(6)*(7)*(8)</t>
  </si>
  <si>
    <r>
      <t>(4)</t>
    </r>
    <r>
      <rPr>
        <vertAlign val="subscript"/>
        <sz val="10"/>
        <rFont val="Arial"/>
        <family val="2"/>
      </rPr>
      <t>FI</t>
    </r>
    <r>
      <rPr>
        <sz val="10"/>
        <rFont val="Arial"/>
        <family val="2"/>
      </rPr>
      <t>/((4)</t>
    </r>
    <r>
      <rPr>
        <vertAlign val="subscript"/>
        <sz val="10"/>
        <rFont val="Arial"/>
        <family val="2"/>
      </rPr>
      <t>FI</t>
    </r>
    <r>
      <rPr>
        <sz val="10"/>
        <rFont val="Arial"/>
        <family val="2"/>
      </rPr>
      <t>+(4)</t>
    </r>
    <r>
      <rPr>
        <vertAlign val="subscript"/>
        <sz val="10"/>
        <rFont val="Arial"/>
        <family val="2"/>
      </rPr>
      <t>PDO</t>
    </r>
    <r>
      <rPr>
        <sz val="10"/>
        <rFont val="Arial"/>
        <family val="2"/>
      </rPr>
      <t>)</t>
    </r>
  </si>
  <si>
    <r>
      <t>(5)</t>
    </r>
    <r>
      <rPr>
        <vertAlign val="subscript"/>
        <sz val="10"/>
        <rFont val="Arial"/>
        <family val="2"/>
      </rPr>
      <t>TOTAL</t>
    </r>
    <r>
      <rPr>
        <sz val="10"/>
        <rFont val="Arial"/>
        <family val="2"/>
      </rPr>
      <t>-(5)</t>
    </r>
    <r>
      <rPr>
        <vertAlign val="subscript"/>
        <sz val="10"/>
        <rFont val="Arial"/>
        <family val="2"/>
      </rPr>
      <t>FI</t>
    </r>
  </si>
  <si>
    <t>Road type</t>
  </si>
  <si>
    <t>Intercept</t>
  </si>
  <si>
    <t>AADT</t>
  </si>
  <si>
    <t>Total crashes</t>
  </si>
  <si>
    <t>Fatal-and-injury crashes</t>
  </si>
  <si>
    <t>Property-damage-only crashes</t>
  </si>
  <si>
    <t>Worksheet 1D -- Multiple-Vehicle Nondriveway Collisions by Collision Type for Urban and Suburban Roadway Segments</t>
  </si>
  <si>
    <r>
      <t xml:space="preserve">Predicted N </t>
    </r>
    <r>
      <rPr>
        <b/>
        <i/>
        <vertAlign val="subscript"/>
        <sz val="10"/>
        <rFont val="Arial"/>
        <family val="2"/>
      </rPr>
      <t>brmv</t>
    </r>
    <r>
      <rPr>
        <b/>
        <vertAlign val="subscript"/>
        <sz val="10"/>
        <rFont val="Arial"/>
        <family val="2"/>
      </rPr>
      <t xml:space="preserve"> (TOTAL) </t>
    </r>
    <r>
      <rPr>
        <b/>
        <sz val="10"/>
        <rFont val="Arial"/>
        <family val="2"/>
      </rPr>
      <t>(crashes/year)</t>
    </r>
  </si>
  <si>
    <r>
      <t xml:space="preserve">Predicted N </t>
    </r>
    <r>
      <rPr>
        <b/>
        <i/>
        <sz val="6"/>
        <rFont val="Arial"/>
        <family val="2"/>
      </rPr>
      <t>brmv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</si>
  <si>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1C</t>
    </r>
  </si>
  <si>
    <r>
      <t xml:space="preserve">Predicted N </t>
    </r>
    <r>
      <rPr>
        <b/>
        <i/>
        <sz val="6"/>
        <rFont val="Arial"/>
        <family val="2"/>
      </rPr>
      <t>brmv</t>
    </r>
    <r>
      <rPr>
        <b/>
        <sz val="6"/>
        <rFont val="Arial"/>
        <family val="2"/>
      </rPr>
      <t xml:space="preserve"> (PDO)</t>
    </r>
    <r>
      <rPr>
        <b/>
        <sz val="10"/>
        <rFont val="Arial"/>
        <family val="2"/>
      </rPr>
      <t xml:space="preserve"> (crashes/year)</t>
    </r>
  </si>
  <si>
    <r>
      <t>(9)</t>
    </r>
    <r>
      <rPr>
        <sz val="6"/>
        <rFont val="Arial"/>
        <family val="2"/>
      </rPr>
      <t>PDO</t>
    </r>
    <r>
      <rPr>
        <sz val="10"/>
        <rFont val="Arial"/>
        <family val="2"/>
      </rPr>
      <t xml:space="preserve"> from Worksheet 1C</t>
    </r>
  </si>
  <si>
    <r>
      <t>(9)</t>
    </r>
    <r>
      <rPr>
        <sz val="6"/>
        <rFont val="Arial"/>
        <family val="2"/>
      </rPr>
      <t>TOTAL</t>
    </r>
    <r>
      <rPr>
        <sz val="10"/>
        <rFont val="Arial"/>
        <family val="2"/>
      </rPr>
      <t xml:space="preserve"> from Worksheet 1C</t>
    </r>
  </si>
  <si>
    <r>
      <t>(2)*(3)</t>
    </r>
    <r>
      <rPr>
        <vertAlign val="subscript"/>
        <sz val="10"/>
        <rFont val="Arial"/>
        <family val="2"/>
      </rPr>
      <t>FI</t>
    </r>
  </si>
  <si>
    <r>
      <t>(4)*(5)</t>
    </r>
    <r>
      <rPr>
        <vertAlign val="subscript"/>
        <sz val="10"/>
        <rFont val="Arial"/>
        <family val="2"/>
      </rPr>
      <t>PDO</t>
    </r>
  </si>
  <si>
    <t>(3)+(5)</t>
  </si>
  <si>
    <t>Sideswipe, same direction</t>
  </si>
  <si>
    <t>Sideswipe, opposite direction</t>
  </si>
  <si>
    <t>Proportion of crashes by severity level for specific road types</t>
  </si>
  <si>
    <t>Source: HSIS data for Washington (2002-2006)</t>
  </si>
  <si>
    <t>Other multiple-vehicle collision</t>
  </si>
  <si>
    <r>
      <t xml:space="preserve">Proportion of Collision Type </t>
    </r>
    <r>
      <rPr>
        <b/>
        <vertAlign val="subscript"/>
        <sz val="10"/>
        <rFont val="Arial"/>
        <family val="2"/>
      </rPr>
      <t>(PDO)</t>
    </r>
  </si>
  <si>
    <t>Worksheet 1E -- Single-Vehicle Collisions by Severity Level for Urban and Suburban Roadway Segments</t>
  </si>
  <si>
    <t>from Equation 12-13</t>
  </si>
  <si>
    <r>
      <t>Adjusted N</t>
    </r>
    <r>
      <rPr>
        <b/>
        <vertAlign val="subscript"/>
        <sz val="10"/>
        <rFont val="Arial"/>
        <family val="2"/>
      </rPr>
      <t>brsv</t>
    </r>
  </si>
  <si>
    <r>
      <t>Predicted N</t>
    </r>
    <r>
      <rPr>
        <b/>
        <vertAlign val="subscript"/>
        <sz val="10"/>
        <rFont val="Arial"/>
        <family val="2"/>
      </rPr>
      <t>brsv</t>
    </r>
  </si>
  <si>
    <t>Worksheet 1F -- Single-Vehicle Collisions by Collision Type for Urban and Suburban Roadway Segments</t>
  </si>
  <si>
    <t>Collision with animal</t>
  </si>
  <si>
    <t>Collision with fixed object</t>
  </si>
  <si>
    <t>Collision with other object</t>
  </si>
  <si>
    <t>Other single-vehicle collision</t>
  </si>
  <si>
    <r>
      <t xml:space="preserve">Predicted N </t>
    </r>
    <r>
      <rPr>
        <b/>
        <i/>
        <sz val="6"/>
        <rFont val="Arial"/>
        <family val="2"/>
      </rPr>
      <t>brsv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</si>
  <si>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1E</t>
    </r>
  </si>
  <si>
    <r>
      <t>(9)</t>
    </r>
    <r>
      <rPr>
        <sz val="6"/>
        <rFont val="Arial"/>
        <family val="2"/>
      </rPr>
      <t>PDO</t>
    </r>
    <r>
      <rPr>
        <sz val="10"/>
        <rFont val="Arial"/>
        <family val="2"/>
      </rPr>
      <t xml:space="preserve"> from Worksheet 1E</t>
    </r>
  </si>
  <si>
    <r>
      <t xml:space="preserve">Predicted N </t>
    </r>
    <r>
      <rPr>
        <b/>
        <i/>
        <vertAlign val="subscript"/>
        <sz val="10"/>
        <rFont val="Arial"/>
        <family val="2"/>
      </rPr>
      <t>brsv</t>
    </r>
    <r>
      <rPr>
        <b/>
        <vertAlign val="subscript"/>
        <sz val="10"/>
        <rFont val="Arial"/>
        <family val="2"/>
      </rPr>
      <t xml:space="preserve"> (TOTAL) </t>
    </r>
    <r>
      <rPr>
        <b/>
        <sz val="10"/>
        <rFont val="Arial"/>
        <family val="2"/>
      </rPr>
      <t>(crashes/year)</t>
    </r>
  </si>
  <si>
    <r>
      <t>(9)</t>
    </r>
    <r>
      <rPr>
        <sz val="6"/>
        <rFont val="Arial"/>
        <family val="2"/>
      </rPr>
      <t>TOTAL</t>
    </r>
    <r>
      <rPr>
        <sz val="10"/>
        <rFont val="Arial"/>
        <family val="2"/>
      </rPr>
      <t xml:space="preserve"> from Worksheet 1E</t>
    </r>
  </si>
  <si>
    <r>
      <t xml:space="preserve">Predicted N </t>
    </r>
    <r>
      <rPr>
        <b/>
        <i/>
        <sz val="6"/>
        <rFont val="Arial"/>
        <family val="2"/>
      </rPr>
      <t>brsv</t>
    </r>
    <r>
      <rPr>
        <b/>
        <sz val="6"/>
        <rFont val="Arial"/>
        <family val="2"/>
      </rPr>
      <t xml:space="preserve"> (PDO)</t>
    </r>
    <r>
      <rPr>
        <b/>
        <sz val="10"/>
        <rFont val="Arial"/>
        <family val="2"/>
      </rPr>
      <t xml:space="preserve"> (crashes/year)</t>
    </r>
  </si>
  <si>
    <t>Worksheet 1G -- Multiple-Vehicle Driveway-Related Collisions by Driveway Type for Urban and Suburban Roadway Segments</t>
  </si>
  <si>
    <t xml:space="preserve">Driveway Type </t>
  </si>
  <si>
    <t>Overdispersion parameter, k</t>
  </si>
  <si>
    <t>Coefficient for traffic adjustment, t</t>
  </si>
  <si>
    <r>
      <t>Crashes per driveway per year, N</t>
    </r>
    <r>
      <rPr>
        <b/>
        <vertAlign val="subscript"/>
        <sz val="10"/>
        <rFont val="Arial"/>
        <family val="2"/>
      </rPr>
      <t>j</t>
    </r>
  </si>
  <si>
    <r>
      <t>Initial N</t>
    </r>
    <r>
      <rPr>
        <b/>
        <vertAlign val="subscript"/>
        <sz val="10"/>
        <rFont val="Arial"/>
        <family val="2"/>
      </rPr>
      <t>brdwy</t>
    </r>
  </si>
  <si>
    <r>
      <t xml:space="preserve">  Number of driveways,   n</t>
    </r>
    <r>
      <rPr>
        <b/>
        <vertAlign val="subscript"/>
        <sz val="10"/>
        <rFont val="Arial"/>
        <family val="2"/>
      </rPr>
      <t>j</t>
    </r>
  </si>
  <si>
    <t>Equation 12-16</t>
  </si>
  <si>
    <r>
      <t>n</t>
    </r>
    <r>
      <rPr>
        <vertAlign val="subscript"/>
        <sz val="10"/>
        <rFont val="Arial"/>
        <family val="2"/>
      </rPr>
      <t>j</t>
    </r>
    <r>
      <rPr>
        <sz val="10"/>
        <rFont val="Arial"/>
        <family val="2"/>
      </rPr>
      <t xml:space="preserve"> * N</t>
    </r>
    <r>
      <rPr>
        <vertAlign val="subscript"/>
        <sz val="10"/>
        <rFont val="Arial"/>
        <family val="2"/>
      </rPr>
      <t>j</t>
    </r>
    <r>
      <rPr>
        <sz val="10"/>
        <rFont val="Arial"/>
        <family val="2"/>
      </rPr>
      <t xml:space="preserve"> * (AADT/15,000)</t>
    </r>
    <r>
      <rPr>
        <vertAlign val="superscript"/>
        <sz val="10"/>
        <rFont val="Arial"/>
        <family val="2"/>
      </rPr>
      <t>t</t>
    </r>
  </si>
  <si>
    <t>Major commercial</t>
  </si>
  <si>
    <t>Minor commercial</t>
  </si>
  <si>
    <t>Major industrial/institutional</t>
  </si>
  <si>
    <t>Minor industrial/institutional</t>
  </si>
  <si>
    <t>Major residential</t>
  </si>
  <si>
    <t>Minor residential</t>
  </si>
  <si>
    <t>Worksheet 1H -- Multiple-Vehicle Driveway-Related Collisions by Severity Level for Urban and Suburban Roadway Segments</t>
  </si>
  <si>
    <r>
      <t>Proportion of total crashes (f</t>
    </r>
    <r>
      <rPr>
        <b/>
        <vertAlign val="subscript"/>
        <sz val="10"/>
        <rFont val="Arial"/>
        <family val="2"/>
      </rPr>
      <t>dwy</t>
    </r>
    <r>
      <rPr>
        <b/>
        <sz val="10"/>
        <rFont val="Arial"/>
        <family val="2"/>
      </rPr>
      <t>)</t>
    </r>
  </si>
  <si>
    <r>
      <t>Adjusted N</t>
    </r>
    <r>
      <rPr>
        <b/>
        <vertAlign val="subscript"/>
        <sz val="10"/>
        <rFont val="Arial"/>
        <family val="2"/>
      </rPr>
      <t>brdwy</t>
    </r>
  </si>
  <si>
    <r>
      <t>Predicted N</t>
    </r>
    <r>
      <rPr>
        <b/>
        <vertAlign val="subscript"/>
        <sz val="10"/>
        <rFont val="Arial"/>
        <family val="2"/>
      </rPr>
      <t>brdwy</t>
    </r>
  </si>
  <si>
    <r>
      <t>(5)</t>
    </r>
    <r>
      <rPr>
        <vertAlign val="subscript"/>
        <sz val="10"/>
        <rFont val="Arial"/>
        <family val="2"/>
      </rPr>
      <t>TOTAL</t>
    </r>
    <r>
      <rPr>
        <sz val="10"/>
        <rFont val="Arial"/>
        <family val="2"/>
      </rPr>
      <t xml:space="preserve"> from Worksheet 1G</t>
    </r>
  </si>
  <si>
    <r>
      <t>(2)</t>
    </r>
    <r>
      <rPr>
        <vertAlign val="subscript"/>
        <sz val="10"/>
        <rFont val="Arial"/>
        <family val="2"/>
      </rPr>
      <t>TOTAL</t>
    </r>
    <r>
      <rPr>
        <sz val="10"/>
        <rFont val="Arial"/>
        <family val="2"/>
      </rPr>
      <t xml:space="preserve"> * (3)</t>
    </r>
  </si>
  <si>
    <t>(4)*(5)*(6)</t>
  </si>
  <si>
    <t>Worksheet 1I -- Vehicle-Pedestrian Collisions for Urban and Suburban Roadway Segments</t>
  </si>
  <si>
    <r>
      <t>Predicted N</t>
    </r>
    <r>
      <rPr>
        <b/>
        <vertAlign val="subscript"/>
        <sz val="10"/>
        <rFont val="Arial"/>
        <family val="2"/>
      </rPr>
      <t>pedr</t>
    </r>
  </si>
  <si>
    <r>
      <t>f</t>
    </r>
    <r>
      <rPr>
        <b/>
        <vertAlign val="subscript"/>
        <sz val="10"/>
        <rFont val="Arial"/>
        <family val="2"/>
      </rPr>
      <t>biker</t>
    </r>
  </si>
  <si>
    <r>
      <t>Predicted N</t>
    </r>
    <r>
      <rPr>
        <b/>
        <vertAlign val="subscript"/>
        <sz val="10"/>
        <rFont val="Arial"/>
        <family val="2"/>
      </rPr>
      <t>br</t>
    </r>
  </si>
  <si>
    <t>(9) from Worksheet 1C</t>
  </si>
  <si>
    <t>(9) from Worksheet 1E</t>
  </si>
  <si>
    <t>(7) from Worksheet 1H</t>
  </si>
  <si>
    <t>(2)+(3)+(4)</t>
  </si>
  <si>
    <t>Worksheet 1J -- Vehicle-Bicycle Collisions for Urban and Suburban Roadway Segments</t>
  </si>
  <si>
    <r>
      <t>f</t>
    </r>
    <r>
      <rPr>
        <b/>
        <vertAlign val="subscript"/>
        <sz val="10"/>
        <rFont val="Arial"/>
        <family val="2"/>
      </rPr>
      <t>pedr</t>
    </r>
  </si>
  <si>
    <t>Worksheet 1K -- Crash Severity Distribution for Urban and Suburban Roadway Segments</t>
  </si>
  <si>
    <t>(3) from Worksheet 1D and 1F;</t>
  </si>
  <si>
    <t>(5) from Worksheet 1D and 1F; and</t>
  </si>
  <si>
    <t>(7) from Worksheet 1H; and</t>
  </si>
  <si>
    <t>(6) from Worksheet 1D and 1F;</t>
  </si>
  <si>
    <t>MULTIPLE-VEHICLE</t>
  </si>
  <si>
    <t>SINGLE-VEHICLE</t>
  </si>
  <si>
    <t>Rear-end collisions (from Worksheet 1D)</t>
  </si>
  <si>
    <t>Head-on collisions (from Worksheet 1D)</t>
  </si>
  <si>
    <t>Angle collisions (from Worksheet 1D)</t>
  </si>
  <si>
    <t>Sideswipe, same direction (from Worksheet 1D)</t>
  </si>
  <si>
    <t>Sideswipe, opposite direction (from Worksheet 1D)</t>
  </si>
  <si>
    <t>Driveway-related collisions (from Worksheet 1H)</t>
  </si>
  <si>
    <t>Other multiple-vehicle collision (from Worksheet 1D)</t>
  </si>
  <si>
    <t>Subtotal</t>
  </si>
  <si>
    <t>Collision with animal (from Worksheet 1F)</t>
  </si>
  <si>
    <t>Collision with fixed object (from Worksheet 1F)</t>
  </si>
  <si>
    <t>Collision with other object (from Worksheet 1F)</t>
  </si>
  <si>
    <t>Other single-vehicle collision (from Worksheet 1F)</t>
  </si>
  <si>
    <t>Collision with pedestrian (from Worksheet 1I)</t>
  </si>
  <si>
    <t>Collision with bicycle (from Worksheet 1J)</t>
  </si>
  <si>
    <t>Worksheet 1L -- Summary Results for Urban and Suburban Roadway Segments</t>
  </si>
  <si>
    <r>
      <t>Predicted average crash frequency, N</t>
    </r>
    <r>
      <rPr>
        <b/>
        <vertAlign val="subscript"/>
        <sz val="10"/>
        <rFont val="Arial"/>
        <family val="2"/>
      </rPr>
      <t xml:space="preserve"> predicted rs</t>
    </r>
    <r>
      <rPr>
        <b/>
        <sz val="10"/>
        <rFont val="Arial"/>
        <family val="2"/>
      </rPr>
      <t xml:space="preserve"> (crashes/year)</t>
    </r>
  </si>
  <si>
    <t>Roadway segment length, L (mi)</t>
  </si>
  <si>
    <t>Crash rate (crashes/mi/year)</t>
  </si>
  <si>
    <t>(Total) from Worksheet 1K</t>
  </si>
  <si>
    <t>(2) / (3)</t>
  </si>
  <si>
    <t>Driveway type (j)</t>
  </si>
  <si>
    <r>
      <t>Number of driveway-related collisions per driveway per year (N</t>
    </r>
    <r>
      <rPr>
        <b/>
        <vertAlign val="subscript"/>
        <sz val="10"/>
        <rFont val="Arial"/>
        <family val="2"/>
      </rPr>
      <t>j</t>
    </r>
    <r>
      <rPr>
        <b/>
        <sz val="10"/>
        <rFont val="Arial"/>
        <family val="2"/>
      </rPr>
      <t>)</t>
    </r>
  </si>
  <si>
    <t>Major industrial / industrial</t>
  </si>
  <si>
    <t>Minor industrial / institutional</t>
  </si>
  <si>
    <t>Regression coefficient for AADT (t)</t>
  </si>
  <si>
    <t>All driveways</t>
  </si>
  <si>
    <t>Overdispersion parameter (k)</t>
  </si>
  <si>
    <r>
      <t>Proportion of fatal-and-injury crashes (f</t>
    </r>
    <r>
      <rPr>
        <b/>
        <vertAlign val="subscript"/>
        <sz val="10"/>
        <rFont val="Arial"/>
        <family val="2"/>
      </rPr>
      <t>dwy</t>
    </r>
    <r>
      <rPr>
        <b/>
        <sz val="10"/>
        <rFont val="Arial"/>
        <family val="2"/>
      </rPr>
      <t>)</t>
    </r>
  </si>
  <si>
    <t>Proportion of property-damage-only crashes</t>
  </si>
  <si>
    <t>Coefficients for specific roadway types</t>
  </si>
  <si>
    <t>Posted Speed 30 mph or Lower</t>
  </si>
  <si>
    <t>Posted Speed Greater than 30 mph</t>
  </si>
  <si>
    <t>Posted</t>
  </si>
  <si>
    <r>
      <t>Pedestrian Crash Adjustment Factor (f</t>
    </r>
    <r>
      <rPr>
        <b/>
        <vertAlign val="subscript"/>
        <sz val="10"/>
        <rFont val="Arial"/>
        <family val="2"/>
      </rPr>
      <t>pedr</t>
    </r>
    <r>
      <rPr>
        <b/>
        <sz val="10"/>
        <rFont val="Arial"/>
        <family val="2"/>
      </rPr>
      <t>)</t>
    </r>
  </si>
  <si>
    <r>
      <t>Bicycle Crash Adjustment Factor (f</t>
    </r>
    <r>
      <rPr>
        <b/>
        <vertAlign val="subscript"/>
        <sz val="10"/>
        <rFont val="Arial"/>
        <family val="2"/>
      </rPr>
      <t>biker</t>
    </r>
    <r>
      <rPr>
        <b/>
        <sz val="10"/>
        <rFont val="Arial"/>
        <family val="2"/>
      </rPr>
      <t>)</t>
    </r>
  </si>
  <si>
    <t>Note:  These factors apply to the methodology for predicting total crashes (all seerity levels combined). All pedestrian collisions resulting from this adjustment factor are treated as fatal-and-injury crashes and none as property-damage-only crashes.  Source:  HSIS data for Washington (2002-2006)</t>
  </si>
  <si>
    <t>Note:  These factors apply to the methodology for predicting total crashes (all seerity levels combined). All bicycle collisions resulting from this adjustment factor are treated as fatal-and-injury crashes and none as property-damage-only crashes.  Source:  HSIS data for Washington (2002-2006)</t>
  </si>
  <si>
    <t>Note:  Values from 2 to 30 can be estimated using the following equation:</t>
  </si>
  <si>
    <r>
      <t>y=0.3566 x</t>
    </r>
    <r>
      <rPr>
        <vertAlign val="superscript"/>
        <sz val="10"/>
        <rFont val="Arial"/>
        <family val="2"/>
      </rPr>
      <t>-0.614</t>
    </r>
  </si>
  <si>
    <r>
      <t>f</t>
    </r>
    <r>
      <rPr>
        <vertAlign val="subscript"/>
        <sz val="10"/>
        <rFont val="Arial"/>
        <family val="2"/>
      </rPr>
      <t>offset</t>
    </r>
  </si>
  <si>
    <r>
      <t>Calculated CMF</t>
    </r>
    <r>
      <rPr>
        <vertAlign val="subscript"/>
        <sz val="10"/>
        <rFont val="Arial"/>
        <family val="2"/>
      </rPr>
      <t>2r</t>
    </r>
  </si>
  <si>
    <r>
      <t>Adjusted CMF</t>
    </r>
    <r>
      <rPr>
        <vertAlign val="subscript"/>
        <sz val="10"/>
        <rFont val="Arial"/>
        <family val="2"/>
      </rPr>
      <t>2r</t>
    </r>
  </si>
  <si>
    <t>Worksheet 2A -- General Information and Input Data for Urban and Suburban Arterial Intersections</t>
  </si>
  <si>
    <t>Intersection type (3ST, 3SG, 4ST, 4SG)</t>
  </si>
  <si>
    <r>
      <t xml:space="preserve">AADT </t>
    </r>
    <r>
      <rPr>
        <vertAlign val="subscript"/>
        <sz val="10"/>
        <rFont val="Arial"/>
        <family val="2"/>
      </rPr>
      <t>major</t>
    </r>
    <r>
      <rPr>
        <sz val="10"/>
        <rFont val="Arial"/>
        <family val="2"/>
      </rPr>
      <t xml:space="preserve"> (veh/day)</t>
    </r>
  </si>
  <si>
    <r>
      <t xml:space="preserve">AADT </t>
    </r>
    <r>
      <rPr>
        <vertAlign val="subscript"/>
        <sz val="10"/>
        <rFont val="Arial"/>
        <family val="2"/>
      </rPr>
      <t>minor</t>
    </r>
    <r>
      <rPr>
        <sz val="10"/>
        <rFont val="Arial"/>
        <family val="2"/>
      </rPr>
      <t xml:space="preserve"> (veh/day)</t>
    </r>
  </si>
  <si>
    <t>Data for unsignalized intersections only:</t>
  </si>
  <si>
    <t>Number of alcohol sales establishments within 300 m (1,000 ft) of the intersection</t>
  </si>
  <si>
    <t>Schools within 300 m (1,000 ft) of the intersection (present/not present)</t>
  </si>
  <si>
    <t>Number of bus stops within 300 m (1,000 ft) of the intersection</t>
  </si>
  <si>
    <r>
      <t>Maximum number of lanes crossed by a pedestrian (n</t>
    </r>
    <r>
      <rPr>
        <vertAlign val="subscript"/>
        <sz val="10"/>
        <rFont val="Arial"/>
        <family val="2"/>
      </rPr>
      <t>lanesx</t>
    </r>
    <r>
      <rPr>
        <sz val="10"/>
        <rFont val="Arial"/>
        <family val="2"/>
      </rPr>
      <t>)</t>
    </r>
  </si>
  <si>
    <t>Intersection red light cameras (present/not present)</t>
  </si>
  <si>
    <t>Permissive</t>
  </si>
  <si>
    <t>Tlanes</t>
  </si>
  <si>
    <t>Worksheet 2B -- Crash Modification Factors for Urban and Suburban Arterial Intersections</t>
  </si>
  <si>
    <t>CMF 1i</t>
  </si>
  <si>
    <t>CMF for Left-Turn Signal Phasing</t>
  </si>
  <si>
    <t>CMF 2i</t>
  </si>
  <si>
    <t>CMF 3i</t>
  </si>
  <si>
    <t>CMF for Right Turn on Red</t>
  </si>
  <si>
    <t>CMF 4i</t>
  </si>
  <si>
    <t>from Equation 12-35</t>
  </si>
  <si>
    <t>CMF 5i</t>
  </si>
  <si>
    <t>from Equation 12-36</t>
  </si>
  <si>
    <t>CMF 6i</t>
  </si>
  <si>
    <t>from Equation 12-37</t>
  </si>
  <si>
    <t>CMF for Red Light Cameras</t>
  </si>
  <si>
    <r>
      <t xml:space="preserve">CMF </t>
    </r>
    <r>
      <rPr>
        <i/>
        <vertAlign val="subscript"/>
        <sz val="10"/>
        <rFont val="Arial"/>
        <family val="2"/>
      </rPr>
      <t>COMB</t>
    </r>
  </si>
  <si>
    <t>(1)*(2)*(3)*(4)*(5)*(6)</t>
  </si>
  <si>
    <t>Worksheet 2C -- Multiple-Vehicle Collisions by Severity Level for Urban and Suburban Arterial Intersections</t>
  </si>
  <si>
    <r>
      <t>Initial N</t>
    </r>
    <r>
      <rPr>
        <b/>
        <vertAlign val="subscript"/>
        <sz val="10"/>
        <rFont val="Arial"/>
        <family val="2"/>
      </rPr>
      <t>bimv</t>
    </r>
  </si>
  <si>
    <t>c</t>
  </si>
  <si>
    <r>
      <t>Adjusted N</t>
    </r>
    <r>
      <rPr>
        <b/>
        <vertAlign val="subscript"/>
        <sz val="10"/>
        <rFont val="Arial"/>
        <family val="2"/>
      </rPr>
      <t>bimv</t>
    </r>
  </si>
  <si>
    <r>
      <t>Predicted N</t>
    </r>
    <r>
      <rPr>
        <b/>
        <vertAlign val="subscript"/>
        <sz val="10"/>
        <rFont val="Arial"/>
        <family val="2"/>
      </rPr>
      <t>bimv</t>
    </r>
  </si>
  <si>
    <t>Worksheet 2D -- Multiple-Vehicle Collisions by Collision Type for Urban and Suburban Arterial Intersections</t>
  </si>
  <si>
    <r>
      <t xml:space="preserve">Predicted N </t>
    </r>
    <r>
      <rPr>
        <b/>
        <i/>
        <sz val="6"/>
        <rFont val="Arial"/>
        <family val="2"/>
      </rPr>
      <t>bimv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</si>
  <si>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2C</t>
    </r>
  </si>
  <si>
    <r>
      <t xml:space="preserve">Predicted N </t>
    </r>
    <r>
      <rPr>
        <b/>
        <i/>
        <sz val="6"/>
        <rFont val="Arial"/>
        <family val="2"/>
      </rPr>
      <t>bimv</t>
    </r>
    <r>
      <rPr>
        <b/>
        <sz val="6"/>
        <rFont val="Arial"/>
        <family val="2"/>
      </rPr>
      <t xml:space="preserve"> (PDO)</t>
    </r>
    <r>
      <rPr>
        <b/>
        <sz val="10"/>
        <rFont val="Arial"/>
        <family val="2"/>
      </rPr>
      <t xml:space="preserve"> (crashes/year)</t>
    </r>
  </si>
  <si>
    <r>
      <t xml:space="preserve">Predicted N </t>
    </r>
    <r>
      <rPr>
        <b/>
        <i/>
        <vertAlign val="subscript"/>
        <sz val="10"/>
        <rFont val="Arial"/>
        <family val="2"/>
      </rPr>
      <t>bimv</t>
    </r>
    <r>
      <rPr>
        <b/>
        <vertAlign val="subscript"/>
        <sz val="10"/>
        <rFont val="Arial"/>
        <family val="2"/>
      </rPr>
      <t xml:space="preserve"> (TOTAL) </t>
    </r>
    <r>
      <rPr>
        <b/>
        <sz val="10"/>
        <rFont val="Arial"/>
        <family val="2"/>
      </rPr>
      <t>(crashes/year)</t>
    </r>
  </si>
  <si>
    <t>Worksheet 2E -- Single-Vehicle Collisions by Severity Level for Urban and Suburban Arterial Intersections</t>
  </si>
  <si>
    <r>
      <t>Initial N</t>
    </r>
    <r>
      <rPr>
        <b/>
        <vertAlign val="subscript"/>
        <sz val="10"/>
        <rFont val="Arial"/>
        <family val="2"/>
      </rPr>
      <t>bisv</t>
    </r>
  </si>
  <si>
    <t>(7) from Worksheet 2B</t>
  </si>
  <si>
    <r>
      <t>Predicted N</t>
    </r>
    <r>
      <rPr>
        <b/>
        <vertAlign val="subscript"/>
        <sz val="10"/>
        <rFont val="Arial"/>
        <family val="2"/>
      </rPr>
      <t>bisv</t>
    </r>
  </si>
  <si>
    <t>Worksheet 2F -- Single-Vehicle Collisions by Collision Type for Urban and Suburban Arterial Intersections</t>
  </si>
  <si>
    <t>Collision with parked vehicle</t>
  </si>
  <si>
    <t>Single-vehicle noncollision</t>
  </si>
  <si>
    <r>
      <t>(9)</t>
    </r>
    <r>
      <rPr>
        <sz val="6"/>
        <rFont val="Arial"/>
        <family val="2"/>
      </rPr>
      <t>PDO</t>
    </r>
    <r>
      <rPr>
        <sz val="10"/>
        <rFont val="Arial"/>
        <family val="2"/>
      </rPr>
      <t xml:space="preserve"> from Worksheet 2C</t>
    </r>
  </si>
  <si>
    <r>
      <t>(9)</t>
    </r>
    <r>
      <rPr>
        <sz val="6"/>
        <rFont val="Arial"/>
        <family val="2"/>
      </rPr>
      <t>FI</t>
    </r>
    <r>
      <rPr>
        <sz val="10"/>
        <rFont val="Arial"/>
        <family val="2"/>
      </rPr>
      <t xml:space="preserve"> from Worksheet 2E</t>
    </r>
  </si>
  <si>
    <r>
      <t>(9)</t>
    </r>
    <r>
      <rPr>
        <sz val="6"/>
        <rFont val="Arial"/>
        <family val="2"/>
      </rPr>
      <t>PDO</t>
    </r>
    <r>
      <rPr>
        <sz val="10"/>
        <rFont val="Arial"/>
        <family val="2"/>
      </rPr>
      <t xml:space="preserve"> from Worksheet 2E</t>
    </r>
  </si>
  <si>
    <r>
      <t xml:space="preserve">Predicted N </t>
    </r>
    <r>
      <rPr>
        <b/>
        <i/>
        <vertAlign val="subscript"/>
        <sz val="10"/>
        <rFont val="Arial"/>
        <family val="2"/>
      </rPr>
      <t>bisv</t>
    </r>
    <r>
      <rPr>
        <b/>
        <vertAlign val="subscript"/>
        <sz val="10"/>
        <rFont val="Arial"/>
        <family val="2"/>
      </rPr>
      <t xml:space="preserve"> (TOTAL) </t>
    </r>
    <r>
      <rPr>
        <b/>
        <sz val="10"/>
        <rFont val="Arial"/>
        <family val="2"/>
      </rPr>
      <t>(crashes/year)</t>
    </r>
  </si>
  <si>
    <r>
      <t>Predicted N</t>
    </r>
    <r>
      <rPr>
        <b/>
        <i/>
        <sz val="10"/>
        <rFont val="Arial"/>
        <family val="2"/>
      </rPr>
      <t xml:space="preserve"> </t>
    </r>
    <r>
      <rPr>
        <b/>
        <i/>
        <sz val="6"/>
        <rFont val="Arial"/>
        <family val="2"/>
      </rPr>
      <t>bisv</t>
    </r>
    <r>
      <rPr>
        <b/>
        <sz val="6"/>
        <rFont val="Arial"/>
        <family val="2"/>
      </rPr>
      <t xml:space="preserve"> (PDO)</t>
    </r>
    <r>
      <rPr>
        <b/>
        <sz val="10"/>
        <rFont val="Arial"/>
        <family val="2"/>
      </rPr>
      <t xml:space="preserve"> (crashes/year)</t>
    </r>
  </si>
  <si>
    <r>
      <t xml:space="preserve">Predicted N </t>
    </r>
    <r>
      <rPr>
        <b/>
        <i/>
        <sz val="6"/>
        <rFont val="Arial"/>
        <family val="2"/>
      </rPr>
      <t>bisv</t>
    </r>
    <r>
      <rPr>
        <b/>
        <sz val="6"/>
        <rFont val="Arial"/>
        <family val="2"/>
      </rPr>
      <t xml:space="preserve"> (FI)</t>
    </r>
    <r>
      <rPr>
        <b/>
        <sz val="10"/>
        <rFont val="Arial"/>
        <family val="2"/>
      </rPr>
      <t xml:space="preserve"> (crashes/year)</t>
    </r>
  </si>
  <si>
    <t>Worksheet 2G -- Vehicle-Pedestrian Collisions for Urban and Suburban Arterial Stop-Controlled Intersections</t>
  </si>
  <si>
    <t>(9) from Worksheet 2C</t>
  </si>
  <si>
    <t>(9) from Worksheet 2E</t>
  </si>
  <si>
    <r>
      <t>Predicted N</t>
    </r>
    <r>
      <rPr>
        <b/>
        <vertAlign val="subscript"/>
        <sz val="10"/>
        <rFont val="Arial"/>
        <family val="2"/>
      </rPr>
      <t>bi</t>
    </r>
  </si>
  <si>
    <r>
      <t>(2)</t>
    </r>
    <r>
      <rPr>
        <sz val="10"/>
        <rFont val="Arial"/>
        <family val="2"/>
      </rPr>
      <t xml:space="preserve"> + (3)</t>
    </r>
  </si>
  <si>
    <r>
      <t>f</t>
    </r>
    <r>
      <rPr>
        <b/>
        <i/>
        <vertAlign val="subscript"/>
        <sz val="10"/>
        <rFont val="Arial"/>
        <family val="2"/>
      </rPr>
      <t>pedi</t>
    </r>
  </si>
  <si>
    <r>
      <t>Predicted N</t>
    </r>
    <r>
      <rPr>
        <b/>
        <vertAlign val="subscript"/>
        <sz val="10"/>
        <rFont val="Arial"/>
        <family val="2"/>
      </rPr>
      <t>pedi</t>
    </r>
  </si>
  <si>
    <t>Worksheet 2H -- Crash Modification Factors for Vehicle-Pedestrian Collisions for Urban and Suburban Arterial Signalized Intersections</t>
  </si>
  <si>
    <t>CMF for Bus Stops</t>
  </si>
  <si>
    <t>CMF for Schools</t>
  </si>
  <si>
    <t>CMF for Alcohol Sales Establishments</t>
  </si>
  <si>
    <r>
      <t>CMF</t>
    </r>
    <r>
      <rPr>
        <vertAlign val="subscript"/>
        <sz val="10"/>
        <rFont val="Arial"/>
        <family val="2"/>
      </rPr>
      <t>1p</t>
    </r>
  </si>
  <si>
    <r>
      <t>CMF</t>
    </r>
    <r>
      <rPr>
        <vertAlign val="subscript"/>
        <sz val="10"/>
        <rFont val="Arial"/>
        <family val="2"/>
      </rPr>
      <t>2p</t>
    </r>
  </si>
  <si>
    <r>
      <t>CMF</t>
    </r>
    <r>
      <rPr>
        <vertAlign val="subscript"/>
        <sz val="10"/>
        <rFont val="Arial"/>
        <family val="2"/>
      </rPr>
      <t>3p</t>
    </r>
  </si>
  <si>
    <t>(1)*(2)*(3)</t>
  </si>
  <si>
    <t>Worksheet 2I -- Vehicle-Pedestrian Collisions for Urban and Suburban Arterial Signalized Intersections</t>
  </si>
  <si>
    <t>d</t>
  </si>
  <si>
    <t>e</t>
  </si>
  <si>
    <r>
      <t>N</t>
    </r>
    <r>
      <rPr>
        <b/>
        <i/>
        <vertAlign val="subscript"/>
        <sz val="10"/>
        <rFont val="Arial"/>
        <family val="2"/>
      </rPr>
      <t>pedbase</t>
    </r>
  </si>
  <si>
    <t>(4) from Worksheet 2H</t>
  </si>
  <si>
    <r>
      <t>f</t>
    </r>
    <r>
      <rPr>
        <b/>
        <i/>
        <vertAlign val="subscript"/>
        <sz val="10"/>
        <rFont val="Arial"/>
        <family val="2"/>
      </rPr>
      <t>bikei</t>
    </r>
  </si>
  <si>
    <t>Worksheet 2K -- Crash Severity Distribution for Urban and Suburban Arterial Intersections</t>
  </si>
  <si>
    <t>(3) from Worksheet 2D and 2F;</t>
  </si>
  <si>
    <t>(5) from Worksheet 2D and 2F</t>
  </si>
  <si>
    <t>(6) from Worksheet 2D and 2F;</t>
  </si>
  <si>
    <t>Rear-end collisions (from Worksheet 2D)</t>
  </si>
  <si>
    <t>Head-on collisions (from Worksheet 2D)</t>
  </si>
  <si>
    <t>Angle collisions (from Worksheet 2D)</t>
  </si>
  <si>
    <t>Sideswipe (from Worksheet 2D)</t>
  </si>
  <si>
    <t>Other multiple-vehicle collision (from Worksheet 2D)</t>
  </si>
  <si>
    <t>Collision with parked vehicle (from Worksheet 2F)</t>
  </si>
  <si>
    <t>Collision with animal (from Worksheet 2F)</t>
  </si>
  <si>
    <t>Collision with fixed object (from Worksheet 2F)</t>
  </si>
  <si>
    <t>Collision with other object (from Worksheet 2F)</t>
  </si>
  <si>
    <t>Other single-vehicle collision (from Worksheet 2F)</t>
  </si>
  <si>
    <t>Single-vehicle noncollision (from Worksheet 2F)</t>
  </si>
  <si>
    <t>Collision with pedestrian (from Worksheet 2G or 2I)</t>
  </si>
  <si>
    <t>Collision with bicycle (from Worksheet 2J)</t>
  </si>
  <si>
    <t>Worksheet 2L -- Summary Results for Urban and Suburban Arterial Intersections</t>
  </si>
  <si>
    <r>
      <t>Predicted average crash frequency, N</t>
    </r>
    <r>
      <rPr>
        <b/>
        <i/>
        <vertAlign val="subscript"/>
        <sz val="10"/>
        <rFont val="Arial"/>
        <family val="2"/>
      </rPr>
      <t>predicted int</t>
    </r>
    <r>
      <rPr>
        <b/>
        <sz val="10"/>
        <rFont val="Arial"/>
        <family val="2"/>
      </rPr>
      <t xml:space="preserve"> (crashes/year)</t>
    </r>
  </si>
  <si>
    <t>(Total) from Worksheet 2K</t>
  </si>
  <si>
    <t>Tables Affiliated with SPF Computation:</t>
  </si>
  <si>
    <t>Intersection type</t>
  </si>
  <si>
    <r>
      <t>AADT</t>
    </r>
    <r>
      <rPr>
        <b/>
        <vertAlign val="subscript"/>
        <sz val="10"/>
        <rFont val="Arial"/>
        <family val="2"/>
      </rPr>
      <t>maj</t>
    </r>
  </si>
  <si>
    <r>
      <t>AADT</t>
    </r>
    <r>
      <rPr>
        <b/>
        <vertAlign val="subscript"/>
        <sz val="10"/>
        <rFont val="Arial"/>
        <family val="2"/>
      </rPr>
      <t>min</t>
    </r>
  </si>
  <si>
    <t>Coefficients use in Eqn. 12-21</t>
  </si>
  <si>
    <t>3SG</t>
  </si>
  <si>
    <t>Equation 12-27:</t>
  </si>
  <si>
    <t>Coefficients use in Eqn. 12-29</t>
  </si>
  <si>
    <r>
      <t>AADT</t>
    </r>
    <r>
      <rPr>
        <b/>
        <vertAlign val="subscript"/>
        <sz val="10"/>
        <rFont val="Arial"/>
        <family val="2"/>
      </rPr>
      <t>tot</t>
    </r>
  </si>
  <si>
    <r>
      <t>AADT</t>
    </r>
    <r>
      <rPr>
        <b/>
        <vertAlign val="subscript"/>
        <sz val="10"/>
        <rFont val="Arial"/>
        <family val="2"/>
      </rPr>
      <t>min</t>
    </r>
    <r>
      <rPr>
        <b/>
        <sz val="10"/>
        <rFont val="Arial"/>
        <family val="2"/>
      </rPr>
      <t>/AADT</t>
    </r>
    <r>
      <rPr>
        <b/>
        <vertAlign val="subscript"/>
        <sz val="10"/>
        <rFont val="Arial"/>
        <family val="2"/>
      </rPr>
      <t>maj</t>
    </r>
  </si>
  <si>
    <t>PedVol</t>
  </si>
  <si>
    <r>
      <t>n</t>
    </r>
    <r>
      <rPr>
        <b/>
        <vertAlign val="subscript"/>
        <sz val="10"/>
        <rFont val="Arial"/>
        <family val="2"/>
      </rPr>
      <t>lanesx</t>
    </r>
  </si>
  <si>
    <t>Proportion of crashes by severity level for specific intersection types</t>
  </si>
  <si>
    <t>Tables Affiliated with Crash Statistics:</t>
  </si>
  <si>
    <t>Intersection Type</t>
  </si>
  <si>
    <r>
      <t>Proportion of crashes that occur at night, p</t>
    </r>
    <r>
      <rPr>
        <b/>
        <vertAlign val="subscript"/>
        <sz val="10"/>
        <rFont val="Arial"/>
        <family val="2"/>
      </rPr>
      <t>ni</t>
    </r>
  </si>
  <si>
    <t>Tables Affiliated with Crash Modification Factors:</t>
  </si>
  <si>
    <t>Intersection traffic control</t>
  </si>
  <si>
    <r>
      <t>Minor-road STOP control</t>
    </r>
    <r>
      <rPr>
        <vertAlign val="superscript"/>
        <sz val="10"/>
        <rFont val="Arial"/>
        <family val="2"/>
      </rPr>
      <t>b</t>
    </r>
  </si>
  <si>
    <t>Traffic signal</t>
  </si>
  <si>
    <r>
      <t>Minor-road STOP control</t>
    </r>
    <r>
      <rPr>
        <vertAlign val="superscript"/>
        <sz val="10"/>
        <rFont val="Arial"/>
        <family val="2"/>
      </rPr>
      <t>a</t>
    </r>
  </si>
  <si>
    <r>
      <t xml:space="preserve">a </t>
    </r>
    <r>
      <rPr>
        <sz val="8"/>
        <rFont val="Arial"/>
        <family val="2"/>
      </rPr>
      <t>STOP-controlled approaches are not considered in determining the number of approaches with left-turn lanes.</t>
    </r>
  </si>
  <si>
    <r>
      <t xml:space="preserve">b </t>
    </r>
    <r>
      <rPr>
        <sz val="8"/>
        <rFont val="Arial"/>
        <family val="2"/>
      </rPr>
      <t>Stop signs present on minor-road approaches only.</t>
    </r>
  </si>
  <si>
    <t>Two approaches</t>
  </si>
  <si>
    <t xml:space="preserve"> One  approach</t>
  </si>
  <si>
    <t>Three approaches</t>
  </si>
  <si>
    <t>Four approaches</t>
  </si>
  <si>
    <r>
      <t xml:space="preserve">Number of approaches with left-turn lanes </t>
    </r>
    <r>
      <rPr>
        <b/>
        <vertAlign val="superscript"/>
        <sz val="10"/>
        <rFont val="Arial"/>
        <family val="2"/>
      </rPr>
      <t>a</t>
    </r>
  </si>
  <si>
    <r>
      <t xml:space="preserve">Number of approaches with right-turn lanes </t>
    </r>
    <r>
      <rPr>
        <b/>
        <vertAlign val="superscript"/>
        <sz val="10"/>
        <rFont val="Arial"/>
        <family val="2"/>
      </rPr>
      <t>a</t>
    </r>
  </si>
  <si>
    <r>
      <t xml:space="preserve">a </t>
    </r>
    <r>
      <rPr>
        <sz val="8"/>
        <rFont val="Arial"/>
        <family val="2"/>
      </rPr>
      <t>STOP-controlled approaches are not considered in determining the number of approaches with right-turn lanes.</t>
    </r>
  </si>
  <si>
    <t>Itype2</t>
  </si>
  <si>
    <t>Phasing</t>
  </si>
  <si>
    <t>Protected</t>
  </si>
  <si>
    <t>Protected / Permissive</t>
  </si>
  <si>
    <t>Permissive / Protected</t>
  </si>
  <si>
    <t>Data for signalized intersections only:</t>
  </si>
  <si>
    <t>UnsigApproach</t>
  </si>
  <si>
    <t>Phasing2</t>
  </si>
  <si>
    <t>Not Applicable</t>
  </si>
  <si>
    <t>Type of left-turn signal phasing for Leg #4 (if applicable)</t>
  </si>
  <si>
    <t>Type of left-turn signal phasing for Leg #1</t>
  </si>
  <si>
    <t>Type of left-turn signal phasing for Leg #2</t>
  </si>
  <si>
    <r>
      <t>Calculations for CMF</t>
    </r>
    <r>
      <rPr>
        <b/>
        <u/>
        <vertAlign val="subscript"/>
        <sz val="10"/>
        <rFont val="Arial"/>
        <family val="2"/>
      </rPr>
      <t>2i</t>
    </r>
  </si>
  <si>
    <t>Leg #1 CMF:</t>
  </si>
  <si>
    <t>Leg #2 CMF:</t>
  </si>
  <si>
    <t>Leg #3 CMF:</t>
  </si>
  <si>
    <t>Leg #4 CMF:</t>
  </si>
  <si>
    <t>Composite Value:</t>
  </si>
  <si>
    <r>
      <t>Calculations for CMF</t>
    </r>
    <r>
      <rPr>
        <b/>
        <u/>
        <vertAlign val="subscript"/>
        <sz val="10"/>
        <rFont val="Arial"/>
        <family val="2"/>
      </rPr>
      <t>6i</t>
    </r>
  </si>
  <si>
    <r>
      <t>p</t>
    </r>
    <r>
      <rPr>
        <vertAlign val="subscript"/>
        <sz val="10"/>
        <rFont val="Arial"/>
        <family val="2"/>
      </rPr>
      <t xml:space="preserve">ramv(FI) </t>
    </r>
    <r>
      <rPr>
        <sz val="10"/>
        <rFont val="Arial"/>
        <family val="2"/>
      </rPr>
      <t>:</t>
    </r>
  </si>
  <si>
    <r>
      <t>p</t>
    </r>
    <r>
      <rPr>
        <vertAlign val="subscript"/>
        <sz val="10"/>
        <rFont val="Arial"/>
        <family val="2"/>
      </rPr>
      <t xml:space="preserve">ramv(PDO) </t>
    </r>
    <r>
      <rPr>
        <sz val="10"/>
        <rFont val="Arial"/>
        <family val="2"/>
      </rPr>
      <t>:</t>
    </r>
  </si>
  <si>
    <r>
      <t>N</t>
    </r>
    <r>
      <rPr>
        <vertAlign val="subscript"/>
        <sz val="10"/>
        <rFont val="Arial"/>
        <family val="2"/>
      </rPr>
      <t>bimv(FI)</t>
    </r>
    <r>
      <rPr>
        <sz val="10"/>
        <rFont val="Arial"/>
        <family val="2"/>
      </rPr>
      <t xml:space="preserve"> :</t>
    </r>
  </si>
  <si>
    <r>
      <t>N</t>
    </r>
    <r>
      <rPr>
        <vertAlign val="subscript"/>
        <sz val="10"/>
        <rFont val="Arial"/>
        <family val="2"/>
      </rPr>
      <t>bimv(PDO)</t>
    </r>
    <r>
      <rPr>
        <sz val="10"/>
        <rFont val="Arial"/>
        <family val="2"/>
      </rPr>
      <t xml:space="preserve"> :</t>
    </r>
  </si>
  <si>
    <r>
      <t>N</t>
    </r>
    <r>
      <rPr>
        <vertAlign val="subscript"/>
        <sz val="10"/>
        <rFont val="Arial"/>
        <family val="2"/>
      </rPr>
      <t>bisv</t>
    </r>
    <r>
      <rPr>
        <sz val="10"/>
        <rFont val="Arial"/>
        <family val="2"/>
      </rPr>
      <t xml:space="preserve"> :</t>
    </r>
  </si>
  <si>
    <r>
      <t>p</t>
    </r>
    <r>
      <rPr>
        <vertAlign val="subscript"/>
        <sz val="10"/>
        <rFont val="Arial"/>
        <family val="2"/>
      </rPr>
      <t>ra</t>
    </r>
    <r>
      <rPr>
        <sz val="10"/>
        <rFont val="Arial"/>
        <family val="2"/>
      </rPr>
      <t xml:space="preserve"> :</t>
    </r>
  </si>
  <si>
    <r>
      <t>p</t>
    </r>
    <r>
      <rPr>
        <vertAlign val="subscript"/>
        <sz val="10"/>
        <rFont val="Arial"/>
        <family val="2"/>
      </rPr>
      <t xml:space="preserve">remv(FI) </t>
    </r>
    <r>
      <rPr>
        <sz val="10"/>
        <rFont val="Arial"/>
        <family val="2"/>
      </rPr>
      <t>:</t>
    </r>
  </si>
  <si>
    <r>
      <t>p</t>
    </r>
    <r>
      <rPr>
        <vertAlign val="subscript"/>
        <sz val="10"/>
        <rFont val="Arial"/>
        <family val="2"/>
      </rPr>
      <t xml:space="preserve">remv(PDO) </t>
    </r>
    <r>
      <rPr>
        <sz val="10"/>
        <rFont val="Arial"/>
        <family val="2"/>
      </rPr>
      <t>:</t>
    </r>
  </si>
  <si>
    <r>
      <t>p</t>
    </r>
    <r>
      <rPr>
        <vertAlign val="subscript"/>
        <sz val="10"/>
        <rFont val="Arial"/>
        <family val="2"/>
      </rPr>
      <t>re</t>
    </r>
    <r>
      <rPr>
        <sz val="10"/>
        <rFont val="Arial"/>
        <family val="2"/>
      </rPr>
      <t xml:space="preserve"> :</t>
    </r>
  </si>
  <si>
    <r>
      <t>CMF</t>
    </r>
    <r>
      <rPr>
        <vertAlign val="subscript"/>
        <sz val="10"/>
        <rFont val="Arial"/>
        <family val="2"/>
      </rPr>
      <t>6i</t>
    </r>
    <r>
      <rPr>
        <sz val="10"/>
        <rFont val="Arial"/>
        <family val="2"/>
      </rPr>
      <t xml:space="preserve"> :</t>
    </r>
  </si>
  <si>
    <t>from Equation 12-29</t>
  </si>
  <si>
    <t>Segment 2</t>
  </si>
  <si>
    <t>Segment 1</t>
  </si>
  <si>
    <t>Multiple-vehicle nondriveway</t>
  </si>
  <si>
    <t>Single-vehicle</t>
  </si>
  <si>
    <t>Multiple-vehicle driveway-related</t>
  </si>
  <si>
    <t>Worksheet 3A -- Predicted Crashes by Severity and Site Type and Observed Crashes Using the Site-Specific EB Method for Urban and Suburban Arterials</t>
  </si>
  <si>
    <t>Multiple-vehicle</t>
  </si>
  <si>
    <t>Worksheet 3B -- Predicted Pedestrian and Bicycle Crashes for Urban and Suburban Arterials</t>
  </si>
  <si>
    <t>Site Type</t>
  </si>
  <si>
    <r>
      <t>N</t>
    </r>
    <r>
      <rPr>
        <b/>
        <vertAlign val="subscript"/>
        <sz val="10"/>
        <rFont val="Arial"/>
        <family val="2"/>
      </rPr>
      <t>ped</t>
    </r>
  </si>
  <si>
    <r>
      <t>N</t>
    </r>
    <r>
      <rPr>
        <b/>
        <vertAlign val="subscript"/>
        <sz val="10"/>
        <rFont val="Arial"/>
        <family val="2"/>
      </rPr>
      <t>bike</t>
    </r>
  </si>
  <si>
    <r>
      <t>Predicted N</t>
    </r>
    <r>
      <rPr>
        <b/>
        <vertAlign val="subscript"/>
        <sz val="10"/>
        <rFont val="Arial"/>
        <family val="2"/>
      </rPr>
      <t>biker</t>
    </r>
  </si>
  <si>
    <t>Worksheet 3C -- Site-Specific EB Method Summary Results for Urban and Suburban Arterials</t>
  </si>
  <si>
    <r>
      <t xml:space="preserve">N </t>
    </r>
    <r>
      <rPr>
        <b/>
        <vertAlign val="subscript"/>
        <sz val="10"/>
        <rFont val="Arial"/>
        <family val="2"/>
      </rPr>
      <t>ped</t>
    </r>
  </si>
  <si>
    <r>
      <t>(2)</t>
    </r>
    <r>
      <rPr>
        <vertAlign val="subscript"/>
        <sz val="10"/>
        <rFont val="Arial"/>
        <family val="2"/>
      </rPr>
      <t>COMB</t>
    </r>
    <r>
      <rPr>
        <sz val="10"/>
        <rFont val="Arial"/>
        <family val="2"/>
      </rPr>
      <t xml:space="preserve"> from Worksheet 3B</t>
    </r>
  </si>
  <si>
    <r>
      <t>(3)</t>
    </r>
    <r>
      <rPr>
        <vertAlign val="subscript"/>
        <sz val="10"/>
        <rFont val="Arial"/>
        <family val="2"/>
      </rPr>
      <t>COMB</t>
    </r>
    <r>
      <rPr>
        <sz val="10"/>
        <rFont val="Arial"/>
        <family val="2"/>
      </rPr>
      <t xml:space="preserve"> from Worksheet 3B</t>
    </r>
  </si>
  <si>
    <r>
      <t xml:space="preserve">N </t>
    </r>
    <r>
      <rPr>
        <b/>
        <vertAlign val="subscript"/>
        <sz val="10"/>
        <rFont val="Arial"/>
        <family val="2"/>
      </rPr>
      <t>bike</t>
    </r>
  </si>
  <si>
    <r>
      <t xml:space="preserve">N </t>
    </r>
    <r>
      <rPr>
        <b/>
        <vertAlign val="subscript"/>
        <sz val="10"/>
        <rFont val="Arial"/>
        <family val="2"/>
      </rPr>
      <t>expected (VEHICLE)</t>
    </r>
  </si>
  <si>
    <r>
      <t>(5)</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</si>
  <si>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(5)</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</si>
  <si>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(3)+(4)+(5)</t>
  </si>
  <si>
    <r>
      <t>(8)</t>
    </r>
    <r>
      <rPr>
        <vertAlign val="subscript"/>
        <sz val="10"/>
        <rFont val="Arial"/>
        <family val="2"/>
      </rPr>
      <t>COMB</t>
    </r>
    <r>
      <rPr>
        <sz val="10"/>
        <rFont val="Arial"/>
        <family val="2"/>
      </rPr>
      <t xml:space="preserve"> Worksheet 3A</t>
    </r>
  </si>
  <si>
    <t>Worksheet 4A -- Predicted Crashes by Collision and Site Type and Observed Crashes Using the Project-Level EB Method for Urban and Suburban Arterials</t>
  </si>
  <si>
    <t>Predicted crashes</t>
  </si>
  <si>
    <r>
      <t xml:space="preserve">  N</t>
    </r>
    <r>
      <rPr>
        <vertAlign val="subscript"/>
        <sz val="10"/>
        <rFont val="Arial"/>
        <family val="2"/>
      </rPr>
      <t xml:space="preserve"> predicted</t>
    </r>
    <r>
      <rPr>
        <sz val="10"/>
        <rFont val="Arial"/>
        <family val="2"/>
      </rPr>
      <t xml:space="preserve">     (FI)</t>
    </r>
  </si>
  <si>
    <r>
      <t>N</t>
    </r>
    <r>
      <rPr>
        <b/>
        <vertAlign val="subscript"/>
        <sz val="10"/>
        <rFont val="Arial"/>
        <family val="2"/>
      </rPr>
      <t>predicted w0</t>
    </r>
  </si>
  <si>
    <r>
      <t>N</t>
    </r>
    <r>
      <rPr>
        <b/>
        <vertAlign val="subscript"/>
        <sz val="10"/>
        <rFont val="Arial"/>
        <family val="2"/>
      </rPr>
      <t>predicted w1</t>
    </r>
  </si>
  <si>
    <r>
      <t>N</t>
    </r>
    <r>
      <rPr>
        <b/>
        <vertAlign val="subscript"/>
        <sz val="10"/>
        <rFont val="Arial"/>
        <family val="2"/>
      </rPr>
      <t>expected/comb</t>
    </r>
  </si>
  <si>
    <t xml:space="preserve">  Equation     A-14</t>
  </si>
  <si>
    <t>Worksheet 4B -- Predicted Pedestrian and Bicycle Crashes for Urban and Suburban Arterials</t>
  </si>
  <si>
    <t>Worksheet 4C -- Project-Specific EB Method Summary Results for Urban and Suburban Arterials</t>
  </si>
  <si>
    <r>
      <t>(2)</t>
    </r>
    <r>
      <rPr>
        <vertAlign val="subscript"/>
        <sz val="10"/>
        <rFont val="Arial"/>
        <family val="2"/>
      </rPr>
      <t>COMB</t>
    </r>
    <r>
      <rPr>
        <sz val="10"/>
        <rFont val="Arial"/>
        <family val="2"/>
      </rPr>
      <t xml:space="preserve"> from Worksheet 4B</t>
    </r>
  </si>
  <si>
    <r>
      <t>(3)</t>
    </r>
    <r>
      <rPr>
        <vertAlign val="subscript"/>
        <sz val="10"/>
        <rFont val="Arial"/>
        <family val="2"/>
      </rPr>
      <t>COMB</t>
    </r>
    <r>
      <rPr>
        <sz val="10"/>
        <rFont val="Arial"/>
        <family val="2"/>
      </rPr>
      <t xml:space="preserve"> from Worksheet 4B</t>
    </r>
  </si>
  <si>
    <r>
      <t>(13)</t>
    </r>
    <r>
      <rPr>
        <vertAlign val="subscript"/>
        <sz val="10"/>
        <rFont val="Arial"/>
        <family val="2"/>
      </rPr>
      <t>COMB</t>
    </r>
    <r>
      <rPr>
        <sz val="10"/>
        <rFont val="Arial"/>
        <family val="2"/>
      </rPr>
      <t xml:space="preserve"> Worksheet 4A</t>
    </r>
  </si>
  <si>
    <t>MP 1.5 to MP 2.25</t>
  </si>
  <si>
    <t>Calculations for CMF for Roadside Fixed Objects</t>
  </si>
  <si>
    <t>Nighttime crash Proportion for CMF for Lighting</t>
  </si>
  <si>
    <t>Analysis for the urban and suburban arterial segment</t>
  </si>
  <si>
    <t>1K, and 1L.</t>
  </si>
  <si>
    <t>Worksheets 1A, 1B, 1C, 1D, 1E, 1F, 1G, 1H, 1I, 1J,</t>
  </si>
  <si>
    <t>segment for analysis.</t>
  </si>
  <si>
    <t>Segment Tables</t>
  </si>
  <si>
    <t>Tables used for the segment analysis.  Includes</t>
  </si>
  <si>
    <t>Intersection1</t>
  </si>
  <si>
    <t>Analysis for the urban and suburban arterial intersection</t>
  </si>
  <si>
    <t>2A, 2B, 2C, 2D, 2E, 2F, 2G, 2H, 2I, 2J, 2K, and 2L.</t>
  </si>
  <si>
    <t>Worksheets specific to STOP control or traffic signals</t>
  </si>
  <si>
    <t>intersection type selected for analysis.</t>
  </si>
  <si>
    <t>may be blank if they do not apply to the specific</t>
  </si>
  <si>
    <t>Intersection2</t>
  </si>
  <si>
    <t xml:space="preserve">Duplicate copy of Intersection1 demonstrating a second </t>
  </si>
  <si>
    <t>intersection type for analysis.</t>
  </si>
  <si>
    <t xml:space="preserve">Duplicate copy of Segment1 demonstrating a second </t>
  </si>
  <si>
    <t>Intersection Tables</t>
  </si>
  <si>
    <t>Tables used for the intersection analysis.  Includes</t>
  </si>
  <si>
    <t>Urban Site Total</t>
  </si>
  <si>
    <t>results from the urban segment and intersection</t>
  </si>
  <si>
    <t>worksheets.  This analysis can be performed if</t>
  </si>
  <si>
    <t>the analyst knows the exact location of historic</t>
  </si>
  <si>
    <t>HSM worksheets are Worksheets 3A, 3B, and 3C.</t>
  </si>
  <si>
    <t>Urban Project Total</t>
  </si>
  <si>
    <t>results from the segment and intersection worksheets.</t>
  </si>
  <si>
    <t>This analysis can be performed if the analyst has</t>
  </si>
  <si>
    <t>historic crash data, but does not know the exact</t>
  </si>
  <si>
    <t xml:space="preserve">location within the project limits at which the </t>
  </si>
  <si>
    <t>are Worksheets 4A, 4B, and 4C.</t>
  </si>
  <si>
    <t>Construction - do not delete</t>
  </si>
  <si>
    <t>Highway Safety Manual 1st Edition, Volume 2, Chapter 12-- Predictive Method for Urban and Suburban Arterials -- Analysis Spreadsheet Summary</t>
  </si>
  <si>
    <t>Table 12-3: SPF Coefficients for Multiple-Vehicle Nondriveway Collisions on Roadway Segments</t>
  </si>
  <si>
    <t>Note:  HSM-Provided values based on HSIS data for Washington (2002-2006)</t>
  </si>
  <si>
    <t>Table 12-4: Distribution of Multiple-Vehicle Nondriveway Collisions for Roadway Segments by Manner of Collision Type</t>
  </si>
  <si>
    <t>Table 12-5: SPF Coefficients for Single-Vehicle Collisions on Roadway Segments</t>
  </si>
  <si>
    <t>Table 12-6: Distribution of Single-Vehicle Collisions for Roadway Segments by Collision Type</t>
  </si>
  <si>
    <t>Table 12-7: SPF Coefficients for Multiple-Vehicle Driveway Related Collisions</t>
  </si>
  <si>
    <t>Table 12-8: Pedestrian Crash Adjustment Factor for Roadway Segments</t>
  </si>
  <si>
    <t>Table 12-9: Bicycle Crash Adjustment Factor for Roadway Segments</t>
  </si>
  <si>
    <t>Table 12-10: SPF Coefficients for Multiple-Vehicle Collisions at Intersections</t>
  </si>
  <si>
    <t>Note:  HSM-Provided values based on HSIS data for California (2002-2006)</t>
  </si>
  <si>
    <t>Table 12-11: Distribution of Multiple-Vehicle Collisions for Intersections by Collision Type</t>
  </si>
  <si>
    <t>Table 12-12: SPF Coefficients for Single-Vehicle Crashes at Intersections</t>
  </si>
  <si>
    <t>Source: HSM-Provided values base on HSIS data for California (2002-2006)</t>
  </si>
  <si>
    <t>Table 12-13: Distribution of Single-Vehicle Crashes for Intersections by Collision Type</t>
  </si>
  <si>
    <t>Table 12-14: SPF for Vehicle-Pedestrian Collisions at Signalized Intersections</t>
  </si>
  <si>
    <r>
      <t>Table 12-19: Values of f</t>
    </r>
    <r>
      <rPr>
        <b/>
        <vertAlign val="subscript"/>
        <sz val="10"/>
        <rFont val="Arial"/>
        <family val="2"/>
      </rPr>
      <t>pk</t>
    </r>
    <r>
      <rPr>
        <b/>
        <sz val="10"/>
        <rFont val="Arial"/>
        <family val="2"/>
      </rPr>
      <t xml:space="preserve"> Used in Determing the CMF for On-Street Parking</t>
    </r>
  </si>
  <si>
    <t>Table 12-20: Fixed-Object Offset Factor</t>
  </si>
  <si>
    <t>Table 12-21: Proportion of Fixed-Object Collisions</t>
  </si>
  <si>
    <r>
      <t>Table 12-22: CMFs for Median Widths on Divided Roadway Segments without a Median Barrier (CMF</t>
    </r>
    <r>
      <rPr>
        <b/>
        <vertAlign val="subscript"/>
        <sz val="10"/>
        <rFont val="Arial"/>
        <family val="2"/>
      </rPr>
      <t>3r</t>
    </r>
    <r>
      <rPr>
        <b/>
        <sz val="10"/>
        <rFont val="Arial"/>
        <family val="2"/>
      </rPr>
      <t>)</t>
    </r>
  </si>
  <si>
    <t>Table 12-23: Nighttime Crash Proportions for Unlighted Roadway Segments</t>
  </si>
  <si>
    <r>
      <t>Table 12-24: Crash Modification Factor (CMF</t>
    </r>
    <r>
      <rPr>
        <b/>
        <vertAlign val="subscript"/>
        <sz val="10"/>
        <rFont val="Arial"/>
        <family val="2"/>
      </rPr>
      <t>1i</t>
    </r>
    <r>
      <rPr>
        <b/>
        <sz val="10"/>
        <rFont val="Arial"/>
        <family val="2"/>
      </rPr>
      <t>) for Installation of Left-Turn Lanes on Intersection Approaches</t>
    </r>
  </si>
  <si>
    <r>
      <t>Table 12-26: Crash Modification Factor (CMF</t>
    </r>
    <r>
      <rPr>
        <b/>
        <vertAlign val="subscript"/>
        <sz val="10"/>
        <rFont val="Arial"/>
        <family val="2"/>
      </rPr>
      <t>3i</t>
    </r>
    <r>
      <rPr>
        <b/>
        <sz val="10"/>
        <rFont val="Arial"/>
        <family val="2"/>
      </rPr>
      <t>) for Installation of Right-Turn Lanes on Intersection Approaches</t>
    </r>
  </si>
  <si>
    <t>Table 12-27: Nighttime Crash Proportions for Unlighted Intersections</t>
  </si>
  <si>
    <t>from Table 12-22</t>
  </si>
  <si>
    <t>from Table 12-3</t>
  </si>
  <si>
    <t>from Table 12-4</t>
  </si>
  <si>
    <t>from Table 12-5</t>
  </si>
  <si>
    <t>from Table 12-6</t>
  </si>
  <si>
    <t>from Table 12-7</t>
  </si>
  <si>
    <t>from Table 12-8</t>
  </si>
  <si>
    <t>from Table 12-9</t>
  </si>
  <si>
    <t>from Table 12-24</t>
  </si>
  <si>
    <t>from Table 12-25</t>
  </si>
  <si>
    <t>from Table 12-26</t>
  </si>
  <si>
    <t>from Table 12-10</t>
  </si>
  <si>
    <t>from Table 12-11</t>
  </si>
  <si>
    <t>from Table 12-12</t>
  </si>
  <si>
    <t>from Table 12-13</t>
  </si>
  <si>
    <t>from Table 12-16</t>
  </si>
  <si>
    <t>from Table 12-28</t>
  </si>
  <si>
    <t>from Table 12-29</t>
  </si>
  <si>
    <t>from Table 12-30</t>
  </si>
  <si>
    <t>from Table 12-14</t>
  </si>
  <si>
    <t>from Table 12-17</t>
  </si>
  <si>
    <t>Main St at 3rd Avenue</t>
  </si>
  <si>
    <t>Main St at 4th Avenue</t>
  </si>
  <si>
    <r>
      <t xml:space="preserve">N </t>
    </r>
    <r>
      <rPr>
        <b/>
        <vertAlign val="subscript"/>
        <sz val="10"/>
        <rFont val="Arial"/>
        <family val="2"/>
      </rPr>
      <t>expected (vehicle)</t>
    </r>
  </si>
  <si>
    <t>Tables 12-3, 12-4, 12-5, 12-6, 12-7, 12-8, 12-9,</t>
  </si>
  <si>
    <t>12-19, 12-20, 12-21, and 12-23.</t>
  </si>
  <si>
    <t>Tables 12-10, 12-11, 12-12, 12-13, 12-14, 12-24,</t>
  </si>
  <si>
    <t>12-26, and 12-27.</t>
  </si>
  <si>
    <t>trends, each of the Tables with the locally-</t>
  </si>
  <si>
    <t>Worksheet 2J -- Vehicle-Bicycle Collisions for Urban and Suburban Arterial Intersections</t>
  </si>
  <si>
    <r>
      <t>AADT</t>
    </r>
    <r>
      <rPr>
        <vertAlign val="subscript"/>
        <sz val="10"/>
        <rFont val="Arial"/>
        <family val="2"/>
      </rPr>
      <t>MAX</t>
    </r>
    <r>
      <rPr>
        <sz val="10"/>
        <rFont val="Arial"/>
        <family val="2"/>
      </rPr>
      <t xml:space="preserve"> =</t>
    </r>
  </si>
  <si>
    <r>
      <t>Predicted N</t>
    </r>
    <r>
      <rPr>
        <b/>
        <i/>
        <vertAlign val="subscript"/>
        <sz val="10"/>
        <rFont val="Arial"/>
        <family val="2"/>
      </rPr>
      <t>pedi</t>
    </r>
  </si>
  <si>
    <r>
      <t>Predicted N</t>
    </r>
    <r>
      <rPr>
        <b/>
        <vertAlign val="subscript"/>
        <sz val="10"/>
        <rFont val="Arial"/>
        <family val="2"/>
      </rPr>
      <t>bikei</t>
    </r>
  </si>
  <si>
    <t>Spreadsheet developed by:</t>
  </si>
  <si>
    <t>Karen Dixon, Ph.D., P.E.</t>
  </si>
  <si>
    <t>Texas A&amp;M Transportation Institute</t>
  </si>
  <si>
    <t>Traffic Operations &amp; Roadway Safety</t>
  </si>
  <si>
    <t>1111 RELLIS Parkway</t>
  </si>
  <si>
    <t>Bryan, TX 77807-3135</t>
  </si>
  <si>
    <t>E-mail:  k-dixon@tti.tamu.edu</t>
  </si>
  <si>
    <t>Phone:  (979) 317-2143</t>
  </si>
  <si>
    <t>Spreadsheet updated by:</t>
  </si>
  <si>
    <t>Michael P. Pratt, P.E., P.T.O.E.</t>
  </si>
  <si>
    <t>Roadway Design</t>
  </si>
  <si>
    <t>E-mail:  m-pratt@tti.tamu.edu</t>
  </si>
  <si>
    <t>Phone:  (979) 317-2149</t>
  </si>
  <si>
    <t>Region</t>
  </si>
  <si>
    <t>Not Specified</t>
  </si>
  <si>
    <t>East</t>
  </si>
  <si>
    <t>North</t>
  </si>
  <si>
    <t>South</t>
  </si>
  <si>
    <t>West</t>
  </si>
  <si>
    <t>SRG</t>
  </si>
  <si>
    <t>TTI</t>
  </si>
  <si>
    <t>Roadway type (2U, 3T, 4U, 4D, 5T)</t>
  </si>
  <si>
    <t>Roadway type for major road</t>
  </si>
  <si>
    <t>Overdispersion    parameter</t>
  </si>
  <si>
    <t>k</t>
  </si>
  <si>
    <t>Overdispersion</t>
  </si>
  <si>
    <t>Region Adjustment Factors</t>
  </si>
  <si>
    <t>Fatal</t>
  </si>
  <si>
    <t>Incapacitating Injury</t>
  </si>
  <si>
    <t>Nonincapacitating Injury</t>
  </si>
  <si>
    <t>Possible Injury</t>
  </si>
  <si>
    <t>Total Fatal Plus Injury</t>
  </si>
  <si>
    <t>Property Damage Only</t>
  </si>
  <si>
    <t>TOTAL</t>
  </si>
  <si>
    <t>Percentage of total roadway segment crashes</t>
  </si>
  <si>
    <t>Locally-Derived Distribution Values for Multiple-Vehicle Non-Driveway Crash Severity Level on Urban/Suburban Arterial Segments</t>
  </si>
  <si>
    <t>Locally-Derived Distribution Values for Single-Vehicle Crash Severity Level on Urban/Suburban Arterial Segments</t>
  </si>
  <si>
    <t>Proportion of Total Nighttime Crashes                            by Severity Level</t>
  </si>
  <si>
    <t>Proportion of Crashes                   that Occur at Night</t>
  </si>
  <si>
    <t>Proportion of Total Nighttime Crashes               by Severity Level</t>
  </si>
  <si>
    <t>Proportion of Crashes           that Occur at Night</t>
  </si>
  <si>
    <t>All driveway-related crashes</t>
  </si>
  <si>
    <t>Posted Speed ≤ 30 mph</t>
  </si>
  <si>
    <t>Posted Speed &gt; 30 mph</t>
  </si>
  <si>
    <t xml:space="preserve">                         Nbisv(FI) = Nbisv(TOTAL) x fbisv</t>
  </si>
  <si>
    <t>Percentage of total intersection crashes</t>
  </si>
  <si>
    <t>Locally-Derived Distribution Values for Multiple-Vehicle Crash Severity Level                                 on Urban/Suburban Intersections</t>
  </si>
  <si>
    <t>Locally-Derived Distribution Values for Single-Vehicle Crash Severity Level                                   on Urban/Suburban Intersections</t>
  </si>
  <si>
    <t>Table 12-16: Pedestrian Crash Adjustment Factors for Urban/Suburban Intersections</t>
  </si>
  <si>
    <t>Table 12-17: Bicycle Crash Adjustment Factors for Urban/Suburban Intersections</t>
  </si>
  <si>
    <r>
      <t>f</t>
    </r>
    <r>
      <rPr>
        <b/>
        <vertAlign val="subscript"/>
        <sz val="10"/>
        <rFont val="Arial"/>
        <family val="2"/>
      </rPr>
      <t>pedi</t>
    </r>
  </si>
  <si>
    <r>
      <t>f</t>
    </r>
    <r>
      <rPr>
        <b/>
        <vertAlign val="subscript"/>
        <sz val="10"/>
        <rFont val="Arial"/>
        <family val="2"/>
      </rPr>
      <t>bikei</t>
    </r>
  </si>
  <si>
    <t>3SG (HSM)</t>
  </si>
  <si>
    <t>4SG (HSM)</t>
  </si>
  <si>
    <t>3SG (Local)</t>
  </si>
  <si>
    <t>4SG (Local)</t>
  </si>
  <si>
    <t>Overdispersion Parameter</t>
  </si>
  <si>
    <t>2U, FI</t>
  </si>
  <si>
    <t>2U, PDO</t>
  </si>
  <si>
    <t>3T, FI</t>
  </si>
  <si>
    <t>3T, PDO</t>
  </si>
  <si>
    <t>4U, FI</t>
  </si>
  <si>
    <t>4U, PDO</t>
  </si>
  <si>
    <t>4D, FI</t>
  </si>
  <si>
    <t>4D, PDO</t>
  </si>
  <si>
    <t>5T, FI</t>
  </si>
  <si>
    <t>5T, PDO</t>
  </si>
  <si>
    <t>3ST, FI</t>
  </si>
  <si>
    <t>3ST, PDO</t>
  </si>
  <si>
    <t>3SG, FI</t>
  </si>
  <si>
    <t>3SG, PDO</t>
  </si>
  <si>
    <t>4ST, FI</t>
  </si>
  <si>
    <t>4ST, PDO</t>
  </si>
  <si>
    <t>4SG, FI</t>
  </si>
  <si>
    <t>4SG, PDO</t>
  </si>
  <si>
    <t xml:space="preserve">identify locations where input data is required or output data is </t>
  </si>
  <si>
    <t>is as follows:</t>
  </si>
  <si>
    <t>frequency, expected crash frequency, or</t>
  </si>
  <si>
    <t>combined CMF.</t>
  </si>
  <si>
    <t>Key output data, including predicted crash</t>
  </si>
  <si>
    <t>from         Equation 12-21</t>
  </si>
  <si>
    <t>from Eqn.12-24; (FI) from Eqn.12-24 or 12-27</t>
  </si>
  <si>
    <t>These values are determined from a query of</t>
  </si>
  <si>
    <t>crash data and should be altered with caution</t>
  </si>
  <si>
    <t>only if justified based on an updated data</t>
  </si>
  <si>
    <t>using locally-derived crash information.  The</t>
  </si>
  <si>
    <t>Optional input data used to describe the analysis.</t>
  </si>
  <si>
    <t>These values do not affect calculation results.</t>
  </si>
  <si>
    <t>Districts and Regions</t>
  </si>
  <si>
    <t>District</t>
  </si>
  <si>
    <t>Abilene</t>
  </si>
  <si>
    <t>Amarillo</t>
  </si>
  <si>
    <t>Atlanta</t>
  </si>
  <si>
    <t>Austin</t>
  </si>
  <si>
    <t>Beaumont</t>
  </si>
  <si>
    <t>Brownwood</t>
  </si>
  <si>
    <t>Bryan</t>
  </si>
  <si>
    <t>Childress</t>
  </si>
  <si>
    <t>Corpus Christi</t>
  </si>
  <si>
    <t>Dallas</t>
  </si>
  <si>
    <t>El Paso</t>
  </si>
  <si>
    <t>Fort Worth</t>
  </si>
  <si>
    <t>Houston</t>
  </si>
  <si>
    <t>Laredo</t>
  </si>
  <si>
    <t>Lubbock</t>
  </si>
  <si>
    <t>Lufkin</t>
  </si>
  <si>
    <t>Odessa</t>
  </si>
  <si>
    <t>Paris</t>
  </si>
  <si>
    <t>Pharr</t>
  </si>
  <si>
    <t>San Angelo</t>
  </si>
  <si>
    <t>San Antonio</t>
  </si>
  <si>
    <t>Tyler</t>
  </si>
  <si>
    <t>Waco</t>
  </si>
  <si>
    <t>Wichita Falls</t>
  </si>
  <si>
    <t>Yoakum</t>
  </si>
  <si>
    <t>TxDOT district</t>
  </si>
  <si>
    <r>
      <t>Statewide Calibration Factor, C</t>
    </r>
    <r>
      <rPr>
        <vertAlign val="subscript"/>
        <sz val="10"/>
        <rFont val="Arial"/>
        <family val="2"/>
      </rPr>
      <t>s</t>
    </r>
  </si>
  <si>
    <t>Statewide Calibration Factors</t>
  </si>
  <si>
    <t>Roadway Type</t>
  </si>
  <si>
    <t>Factor</t>
  </si>
  <si>
    <t>Note: Includes only unsignalized driveways; signalized driveways are analyzed as signalized intersections. Major driveways serve 50 or more parking spaces; minor driveways serve less than 50 parking spaces.</t>
  </si>
  <si>
    <t>Note:  Where no models are available, Equation 12-27 is used.</t>
  </si>
  <si>
    <r>
      <t>State/Region Adjustment, C</t>
    </r>
    <r>
      <rPr>
        <b/>
        <vertAlign val="subscript"/>
        <sz val="10"/>
        <rFont val="Arial"/>
        <family val="2"/>
      </rPr>
      <t>s</t>
    </r>
    <r>
      <rPr>
        <b/>
        <sz val="10"/>
        <rFont val="Arial"/>
        <family val="2"/>
      </rPr>
      <t xml:space="preserve"> * AF</t>
    </r>
    <r>
      <rPr>
        <b/>
        <vertAlign val="subscript"/>
        <sz val="10"/>
        <rFont val="Arial"/>
        <family val="2"/>
      </rPr>
      <t>r</t>
    </r>
  </si>
  <si>
    <t>Statewide calibration factor</t>
  </si>
  <si>
    <t>Updated for Texas Roadways based on TxDOT Research Projects 0-7083 &amp; 5-7083</t>
  </si>
  <si>
    <t>Comment Boxes in the Worksheets</t>
  </si>
  <si>
    <t>Some of the cells in the worksheets have comment boxes that provide</t>
  </si>
  <si>
    <r>
      <t xml:space="preserve">additional clarification about the needed input data.  </t>
    </r>
    <r>
      <rPr>
        <u/>
        <sz val="10"/>
        <rFont val="Arial"/>
        <family val="2"/>
      </rPr>
      <t>Red triangles</t>
    </r>
  </si>
  <si>
    <t>indicate the presence of these comments.  The comments can be</t>
  </si>
  <si>
    <t>viewed by placing the cursor on top of the red triangles.</t>
  </si>
  <si>
    <t>in the HSM.  Comment provided.</t>
  </si>
  <si>
    <t>Automated speed enforcement (present / not present)</t>
  </si>
  <si>
    <t>Offset to roadside fixed objects (ft)</t>
  </si>
  <si>
    <t>Map</t>
  </si>
  <si>
    <t>Sum of all pedestrian crossing volumes  (PedVol)  (1 - 34,200)</t>
  </si>
  <si>
    <t>veh/day</t>
  </si>
  <si>
    <t>This spreadsheet has been developed to demonstrate the predictive models for</t>
  </si>
  <si>
    <t>urban and suburban arterials as contained in the Highway Safety Manual.</t>
  </si>
  <si>
    <t>target analysis.</t>
  </si>
  <si>
    <t>The content was developed for training purposes and all users should verify that</t>
  </si>
  <si>
    <t>the answers that they obtain with these worksheets correctly represent their</t>
  </si>
  <si>
    <t>The worksheet tabs shown at the bottom of this file represent the various analyses</t>
  </si>
  <si>
    <t>that can be performed using this spreadsheet tool and the HSM predictive methods.</t>
  </si>
  <si>
    <t>A user can evaluate an individual road segment or intersection as well as analyze</t>
  </si>
  <si>
    <t>multiple road segments and intersections.  If more than one segment type requires</t>
  </si>
  <si>
    <t>analysis, the user should create a blank worksheet and then copy the contents</t>
  </si>
  <si>
    <t>of the segment worksheet into the blank sheet and name the worksheet accordingly.</t>
  </si>
  <si>
    <t>The analysis worksheets provide the base condition for each input variable.  If the</t>
  </si>
  <si>
    <t>user does not have data to describe the site conditions for the variable of interest,</t>
  </si>
  <si>
    <t>he or she should enter a value equal to the base condition for the variable.</t>
  </si>
  <si>
    <t>The current contents of this spreadsheet include the following worksheets:</t>
  </si>
  <si>
    <t>The worksheets include five specific color options to help users</t>
  </si>
  <si>
    <t xml:space="preserve">provided.  In some cases, the shaded cells require the user to input </t>
  </si>
  <si>
    <t xml:space="preserve">specific numbers.  In other cases the input is restricted to a select </t>
  </si>
  <si>
    <t xml:space="preserve">set of options included in pull-down lists.  The respective color coding </t>
  </si>
  <si>
    <t xml:space="preserve">analysis.  The associated HSM worksheets are </t>
  </si>
  <si>
    <t>analysis.  The associated worksheets are Worksheets</t>
  </si>
  <si>
    <t>crashes within the study limits.  The associated</t>
  </si>
  <si>
    <t>crashes occurred.  The associated HSM worksheets</t>
  </si>
  <si>
    <t>Required input data as identified in the HSM.</t>
  </si>
  <si>
    <t>Input data required from the user but restricted</t>
  </si>
  <si>
    <t>to options provided in drop-down menus.</t>
  </si>
  <si>
    <t>Optional input data that can be used to</t>
  </si>
  <si>
    <t>supplement the analysis if this information</t>
  </si>
  <si>
    <t>is available.  This optional input data is</t>
  </si>
  <si>
    <t>reserved for locally-derived crash information.</t>
  </si>
  <si>
    <t>analysis.  If the user elects to use this option</t>
  </si>
  <si>
    <t>derived input also include a drop-down menu</t>
  </si>
  <si>
    <t>where the user should indicate he or she is</t>
  </si>
  <si>
    <t>Required input data as identified</t>
  </si>
  <si>
    <t>Collision type / Site type and description</t>
  </si>
  <si>
    <t>From worksheet</t>
  </si>
  <si>
    <t>Equation A-4 from Part C Appendix</t>
  </si>
  <si>
    <t>IntApproach1</t>
  </si>
  <si>
    <t>IntApproach2</t>
  </si>
  <si>
    <t>Type of left-turn signal phasing for Leg #3 (if applicable)</t>
  </si>
  <si>
    <t>UnsigApproach1</t>
  </si>
  <si>
    <t>UnsigApproach2</t>
  </si>
  <si>
    <t>Release date:  2/29/2024</t>
  </si>
  <si>
    <t>Worksheet Cell Protection</t>
  </si>
  <si>
    <t>Worksheet cells that are not used for input data are locked and</t>
  </si>
  <si>
    <t>protected to prevent accidental alteration and introduction of errors</t>
  </si>
  <si>
    <t>into the calculation results.  The protection can be deactivated using the</t>
  </si>
  <si>
    <t>"Unprotect Sheet" command button in the Review ribbon if necessary.</t>
  </si>
  <si>
    <t>Segments 1-2 and intersections 1-2 are linked to the analysis worksheets.  Segments 3-4 and intersections 3-4 are described with manual data entry.  Enter a description in the green cells for every row needed to describe the analyzed facility.  Clear the green cells on unneeded rows.</t>
  </si>
  <si>
    <r>
      <t>Predicted average crash frequency, N</t>
    </r>
    <r>
      <rPr>
        <b/>
        <vertAlign val="subscript"/>
        <sz val="10"/>
        <rFont val="Arial"/>
        <family val="2"/>
      </rPr>
      <t>predicted</t>
    </r>
    <r>
      <rPr>
        <sz val="10"/>
        <rFont val="Arial"/>
        <family val="2"/>
      </rPr>
      <t xml:space="preserve"> (crashes/year)</t>
    </r>
  </si>
  <si>
    <r>
      <t>Observed crashes,</t>
    </r>
    <r>
      <rPr>
        <sz val="10"/>
        <rFont val="Arial"/>
        <family val="2"/>
      </rPr>
      <t xml:space="preserve">   </t>
    </r>
    <r>
      <rPr>
        <b/>
        <sz val="10"/>
        <rFont val="Arial"/>
        <family val="2"/>
      </rPr>
      <t>N</t>
    </r>
    <r>
      <rPr>
        <b/>
        <vertAlign val="subscript"/>
        <sz val="10"/>
        <rFont val="Arial"/>
        <family val="2"/>
      </rPr>
      <t>observed</t>
    </r>
    <r>
      <rPr>
        <sz val="10"/>
        <rFont val="Arial"/>
        <family val="2"/>
      </rPr>
      <t xml:space="preserve"> (crashes/year)</t>
    </r>
  </si>
  <si>
    <r>
      <t>Expected average crash frequency, N</t>
    </r>
    <r>
      <rPr>
        <b/>
        <vertAlign val="subscript"/>
        <sz val="10"/>
        <rFont val="Arial"/>
        <family val="2"/>
      </rPr>
      <t>expected</t>
    </r>
    <r>
      <rPr>
        <sz val="10"/>
        <rFont val="Arial"/>
        <family val="2"/>
      </rPr>
      <t xml:space="preserve"> (crashes/year)</t>
    </r>
  </si>
  <si>
    <t>FI</t>
  </si>
  <si>
    <t>PDO</t>
  </si>
  <si>
    <t>(5)*(6)</t>
  </si>
  <si>
    <t>(7) from Worksheet 1I and 1J</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</si>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</sst>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
  </numFmts>
  <fonts count="26">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sz val="10"/>
      <name val="Calibri"/>
      <family val="2"/>
    </font>
    <font>
      <i/>
      <vertAlign val="subscript"/>
      <sz val="10"/>
      <name val="Arial"/>
      <family val="2"/>
    </font>
    <font>
      <u/>
      <sz val="10"/>
      <name val="Arial"/>
      <family val="2"/>
    </font>
    <font>
      <b/>
      <u/>
      <vertAlign val="subscript"/>
      <sz val="10"/>
      <name val="Arial"/>
      <family val="2"/>
    </font>
    <font>
      <sz val="10"/>
      <color theme="1"/>
      <name val="Arial"/>
      <family val="2"/>
    </font>
    <font>
      <sz val="9"/>
      <color indexed="81"/>
      <name val="Tahoma"/>
      <family val="2"/>
    </font>
    <font>
      <u/>
      <sz val="10"/>
      <color theme="10"/>
      <name val="Arial"/>
      <family val="2"/>
    </font>
    <font>
      <b/>
      <sz val="10"/>
      <color rgb="FF002060"/>
      <name val="Arial"/>
      <family val="2"/>
    </font>
  </fonts>
  <fills count="12">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theme="0" tint="-0.14996795556505021"/>
        <bgColor indexed="64"/>
      </patternFill>
    </fill>
    <fill>
      <patternFill patternType="solid">
        <fgColor rgb="FFFFCCFF"/>
        <bgColor indexed="64"/>
      </patternFill>
    </fill>
    <fill>
      <patternFill patternType="solid">
        <fgColor theme="0"/>
        <bgColor indexed="64"/>
      </patternFill>
    </fill>
    <fill>
      <patternFill patternType="solid">
        <fgColor rgb="FF66FFFF"/>
        <bgColor indexed="64"/>
      </patternFill>
    </fill>
    <fill>
      <patternFill patternType="solid">
        <fgColor theme="4" tint="0.39997558519241921"/>
        <bgColor indexed="64"/>
      </patternFill>
    </fill>
    <fill>
      <patternFill patternType="solid">
        <fgColor rgb="FFFFFF99"/>
        <bgColor indexed="64"/>
      </patternFill>
    </fill>
    <fill>
      <patternFill patternType="solid">
        <fgColor rgb="FF99FF99"/>
        <bgColor indexed="64"/>
      </patternFill>
    </fill>
    <fill>
      <patternFill patternType="solid">
        <fgColor rgb="FF00FFFF"/>
        <bgColor indexed="64"/>
      </patternFill>
    </fill>
  </fills>
  <borders count="7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style="double">
        <color indexed="64"/>
      </top>
      <bottom style="medium">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theme="0"/>
      </top>
      <bottom/>
      <diagonal/>
    </border>
  </borders>
  <cellStyleXfs count="3">
    <xf numFmtId="0" fontId="0" fillId="0" borderId="0"/>
    <xf numFmtId="0" fontId="22" fillId="0" borderId="0"/>
    <xf numFmtId="0" fontId="24" fillId="0" borderId="0" applyNumberFormat="0" applyFill="0" applyBorder="0" applyAlignment="0" applyProtection="0"/>
  </cellStyleXfs>
  <cellXfs count="913">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3" fillId="0" borderId="0" xfId="0" applyFont="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5" fontId="0" fillId="0" borderId="0" xfId="0" applyNumberFormat="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5" xfId="0" applyBorder="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6" xfId="0" applyBorder="1"/>
    <xf numFmtId="0" fontId="0" fillId="0" borderId="7" xfId="0" applyBorder="1"/>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0" fontId="0" fillId="0" borderId="0" xfId="0" quotePrefix="1" applyAlignment="1">
      <alignment horizontal="center"/>
    </xf>
    <xf numFmtId="164"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1" fillId="0" borderId="0" xfId="0" quotePrefix="1" applyFont="1" applyAlignment="1">
      <alignment horizontal="center"/>
    </xf>
    <xf numFmtId="0" fontId="1" fillId="0" borderId="0" xfId="0" applyFont="1" applyAlignment="1">
      <alignment horizontal="center" vertical="top"/>
    </xf>
    <xf numFmtId="0" fontId="1" fillId="0" borderId="1" xfId="0" quotePrefix="1" applyFont="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164" fontId="1" fillId="0" borderId="0" xfId="0" applyNumberFormat="1" applyFont="1" applyAlignment="1">
      <alignment horizontal="center"/>
    </xf>
    <xf numFmtId="164" fontId="0" fillId="0" borderId="4" xfId="0" applyNumberFormat="1" applyBorder="1" applyAlignment="1">
      <alignment horizontal="center"/>
    </xf>
    <xf numFmtId="2" fontId="1" fillId="0" borderId="0" xfId="0" applyNumberFormat="1" applyFont="1" applyAlignment="1">
      <alignment horizontal="center"/>
    </xf>
    <xf numFmtId="0" fontId="1" fillId="0" borderId="0" xfId="0" applyFont="1" applyAlignment="1">
      <alignment horizontal="center" vertical="center"/>
    </xf>
    <xf numFmtId="0" fontId="0" fillId="0" borderId="0" xfId="0" quotePrefix="1" applyAlignment="1">
      <alignment horizontal="center" vertical="center"/>
    </xf>
    <xf numFmtId="164" fontId="0" fillId="0" borderId="3" xfId="0" applyNumberFormat="1" applyBorder="1" applyAlignment="1">
      <alignment horizontal="center"/>
    </xf>
    <xf numFmtId="2" fontId="1" fillId="0" borderId="0" xfId="0" applyNumberFormat="1" applyFont="1" applyAlignment="1">
      <alignment horizontal="left"/>
    </xf>
    <xf numFmtId="0" fontId="0" fillId="0" borderId="2" xfId="0" applyBorder="1"/>
    <xf numFmtId="49" fontId="3" fillId="0" borderId="0" xfId="0" applyNumberFormat="1" applyFont="1" applyAlignment="1">
      <alignment horizontal="center"/>
    </xf>
    <xf numFmtId="49" fontId="0" fillId="0" borderId="0" xfId="0" applyNumberFormat="1"/>
    <xf numFmtId="49" fontId="3" fillId="0" borderId="0" xfId="0" applyNumberFormat="1" applyFont="1"/>
    <xf numFmtId="165" fontId="6" fillId="0" borderId="0" xfId="0" applyNumberFormat="1" applyFont="1" applyAlignment="1">
      <alignment horizontal="center"/>
    </xf>
    <xf numFmtId="165" fontId="3" fillId="0" borderId="0" xfId="0" applyNumberFormat="1" applyFont="1" applyAlignment="1">
      <alignment horizontal="center" vertical="top"/>
    </xf>
    <xf numFmtId="0" fontId="3" fillId="0" borderId="0" xfId="0" applyFont="1" applyAlignment="1">
      <alignment vertical="top"/>
    </xf>
    <xf numFmtId="0" fontId="0" fillId="0" borderId="0" xfId="0" applyAlignment="1">
      <alignment vertical="top"/>
    </xf>
    <xf numFmtId="49" fontId="1" fillId="0" borderId="0" xfId="0" applyNumberFormat="1" applyFont="1" applyAlignment="1">
      <alignment horizontal="center"/>
    </xf>
    <xf numFmtId="49" fontId="6" fillId="0" borderId="0" xfId="0" applyNumberFormat="1" applyFont="1" applyAlignment="1">
      <alignment horizontal="center"/>
    </xf>
    <xf numFmtId="164" fontId="6" fillId="0" borderId="0" xfId="0" applyNumberFormat="1" applyFont="1" applyAlignment="1">
      <alignment horizontal="center"/>
    </xf>
    <xf numFmtId="2" fontId="2" fillId="0" borderId="0" xfId="0" applyNumberFormat="1" applyFont="1" applyAlignment="1">
      <alignment horizontal="left"/>
    </xf>
    <xf numFmtId="2" fontId="3" fillId="0" borderId="0" xfId="0" applyNumberFormat="1" applyFont="1" applyAlignment="1">
      <alignment horizontal="center" vertical="top"/>
    </xf>
    <xf numFmtId="0" fontId="1" fillId="0" borderId="0" xfId="0" quotePrefix="1" applyFont="1" applyAlignment="1">
      <alignment horizontal="center" vertical="center"/>
    </xf>
    <xf numFmtId="20" fontId="1" fillId="0" borderId="0" xfId="0" quotePrefix="1" applyNumberFormat="1" applyFont="1" applyAlignment="1">
      <alignment horizontal="center"/>
    </xf>
    <xf numFmtId="0" fontId="2" fillId="0" borderId="0" xfId="0" applyFont="1" applyAlignment="1">
      <alignment vertical="center"/>
    </xf>
    <xf numFmtId="0" fontId="2" fillId="0" borderId="0" xfId="0" applyFont="1"/>
    <xf numFmtId="1" fontId="1" fillId="0" borderId="0" xfId="0" applyNumberFormat="1" applyFont="1"/>
    <xf numFmtId="2" fontId="0" fillId="0" borderId="0" xfId="0" applyNumberFormat="1" applyAlignment="1">
      <alignment horizontal="center" vertical="top"/>
    </xf>
    <xf numFmtId="164" fontId="1" fillId="0" borderId="2" xfId="0" applyNumberFormat="1" applyFont="1" applyBorder="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2" fontId="1" fillId="0" borderId="0" xfId="0" quotePrefix="1" applyNumberFormat="1" applyFont="1" applyAlignment="1">
      <alignment horizontal="center" vertical="top"/>
    </xf>
    <xf numFmtId="0" fontId="5" fillId="0" borderId="0" xfId="0" applyFont="1" applyAlignment="1">
      <alignment vertical="center"/>
    </xf>
    <xf numFmtId="0" fontId="1" fillId="0" borderId="9" xfId="0" quotePrefix="1" applyFont="1" applyBorder="1" applyAlignment="1">
      <alignment horizontal="center"/>
    </xf>
    <xf numFmtId="0" fontId="0" fillId="0" borderId="4" xfId="0" applyBorder="1" applyAlignment="1">
      <alignment horizontal="center"/>
    </xf>
    <xf numFmtId="164" fontId="0" fillId="0" borderId="10" xfId="0" applyNumberFormat="1" applyBorder="1" applyAlignment="1">
      <alignment horizontal="center"/>
    </xf>
    <xf numFmtId="0" fontId="1" fillId="0" borderId="2" xfId="0" applyFont="1" applyBorder="1" applyAlignment="1">
      <alignment horizontal="center"/>
    </xf>
    <xf numFmtId="0" fontId="1" fillId="0" borderId="2" xfId="0" quotePrefix="1" applyFont="1" applyBorder="1" applyAlignment="1">
      <alignment horizontal="center"/>
    </xf>
    <xf numFmtId="0" fontId="1" fillId="0" borderId="0" xfId="0" applyFont="1" applyAlignment="1">
      <alignment vertical="top"/>
    </xf>
    <xf numFmtId="166" fontId="0" fillId="0" borderId="2" xfId="0" applyNumberFormat="1" applyBorder="1" applyAlignment="1">
      <alignment horizontal="center"/>
    </xf>
    <xf numFmtId="164" fontId="1" fillId="0" borderId="2" xfId="0" quotePrefix="1" applyNumberFormat="1" applyFont="1" applyBorder="1" applyAlignment="1">
      <alignment horizontal="center"/>
    </xf>
    <xf numFmtId="166" fontId="0" fillId="0" borderId="10" xfId="0" applyNumberFormat="1" applyBorder="1" applyAlignment="1">
      <alignment horizontal="center" vertical="center"/>
    </xf>
    <xf numFmtId="164" fontId="0" fillId="0" borderId="8" xfId="0" applyNumberFormat="1" applyBorder="1" applyAlignment="1">
      <alignment horizontal="center"/>
    </xf>
    <xf numFmtId="164" fontId="0" fillId="0" borderId="10" xfId="0" applyNumberFormat="1" applyBorder="1" applyAlignment="1">
      <alignment horizontal="center" vertical="center"/>
    </xf>
    <xf numFmtId="166" fontId="1" fillId="0" borderId="10" xfId="0" quotePrefix="1" applyNumberFormat="1" applyFont="1" applyBorder="1" applyAlignment="1">
      <alignment horizontal="center" vertical="center"/>
    </xf>
    <xf numFmtId="0" fontId="1" fillId="0" borderId="10" xfId="0" quotePrefix="1" applyFont="1" applyBorder="1" applyAlignment="1">
      <alignment horizontal="center" vertical="center"/>
    </xf>
    <xf numFmtId="0" fontId="17" fillId="0" borderId="0" xfId="0" applyFont="1"/>
    <xf numFmtId="0" fontId="3" fillId="0" borderId="13" xfId="0" applyFont="1" applyBorder="1" applyAlignment="1">
      <alignment horizontal="center"/>
    </xf>
    <xf numFmtId="0" fontId="0" fillId="0" borderId="14" xfId="0" applyBorder="1"/>
    <xf numFmtId="0" fontId="3" fillId="0" borderId="2" xfId="0" applyFont="1" applyBorder="1" applyAlignment="1">
      <alignment horizontal="center" wrapText="1"/>
    </xf>
    <xf numFmtId="2" fontId="0" fillId="0" borderId="15" xfId="0" applyNumberFormat="1" applyBorder="1" applyAlignment="1">
      <alignment horizontal="center"/>
    </xf>
    <xf numFmtId="164" fontId="0" fillId="0" borderId="15" xfId="0" applyNumberFormat="1" applyBorder="1" applyAlignment="1">
      <alignment horizontal="center"/>
    </xf>
    <xf numFmtId="2" fontId="1" fillId="0" borderId="16" xfId="0" applyNumberFormat="1" applyFont="1" applyBorder="1" applyAlignment="1">
      <alignment horizontal="left"/>
    </xf>
    <xf numFmtId="164" fontId="0" fillId="0" borderId="2" xfId="0" applyNumberFormat="1" applyBorder="1" applyAlignment="1">
      <alignment horizontal="center" wrapText="1"/>
    </xf>
    <xf numFmtId="164" fontId="0" fillId="0" borderId="3" xfId="0" applyNumberFormat="1" applyBorder="1" applyAlignment="1">
      <alignment horizontal="center" wrapText="1"/>
    </xf>
    <xf numFmtId="0" fontId="1" fillId="0" borderId="17" xfId="0" applyFont="1" applyBorder="1" applyAlignment="1">
      <alignment horizontal="center"/>
    </xf>
    <xf numFmtId="0" fontId="0" fillId="0" borderId="18" xfId="0" applyBorder="1"/>
    <xf numFmtId="0" fontId="1" fillId="0" borderId="0" xfId="0" applyFont="1" applyAlignment="1">
      <alignment vertical="center"/>
    </xf>
    <xf numFmtId="0" fontId="1" fillId="0" borderId="16" xfId="0" applyFont="1" applyBorder="1" applyAlignment="1">
      <alignment horizontal="center"/>
    </xf>
    <xf numFmtId="1" fontId="0" fillId="0" borderId="0" xfId="0" applyNumberFormat="1" applyAlignment="1">
      <alignment horizontal="center"/>
    </xf>
    <xf numFmtId="2" fontId="0" fillId="0" borderId="9" xfId="0" applyNumberFormat="1" applyBorder="1" applyAlignment="1">
      <alignment horizontal="center"/>
    </xf>
    <xf numFmtId="165" fontId="3" fillId="0" borderId="2" xfId="0" applyNumberFormat="1" applyFont="1" applyBorder="1" applyAlignment="1">
      <alignment horizontal="center"/>
    </xf>
    <xf numFmtId="0" fontId="1" fillId="0" borderId="0" xfId="0" applyFont="1" applyAlignment="1">
      <alignment horizontal="right"/>
    </xf>
    <xf numFmtId="164" fontId="0" fillId="0" borderId="19" xfId="0" applyNumberFormat="1" applyBorder="1" applyAlignment="1">
      <alignment horizontal="center"/>
    </xf>
    <xf numFmtId="164" fontId="0" fillId="0" borderId="13" xfId="0" applyNumberFormat="1" applyBorder="1" applyAlignment="1">
      <alignment horizontal="center"/>
    </xf>
    <xf numFmtId="0" fontId="3" fillId="0" borderId="0" xfId="0" applyFont="1" applyAlignment="1">
      <alignment horizont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top" wrapText="1"/>
    </xf>
    <xf numFmtId="0" fontId="0" fillId="0" borderId="0" xfId="0" quotePrefix="1" applyAlignment="1">
      <alignment horizontal="center" vertical="center" wrapText="1"/>
    </xf>
    <xf numFmtId="3" fontId="0" fillId="0" borderId="0" xfId="0" applyNumberFormat="1"/>
    <xf numFmtId="0" fontId="3" fillId="0" borderId="0" xfId="0" applyFont="1" applyAlignment="1">
      <alignment horizontal="centerContinuous"/>
    </xf>
    <xf numFmtId="0" fontId="3" fillId="0" borderId="2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3" fontId="1" fillId="0" borderId="17" xfId="0" applyNumberFormat="1" applyFont="1" applyBorder="1" applyAlignment="1">
      <alignment horizontal="center"/>
    </xf>
    <xf numFmtId="0" fontId="0" fillId="0" borderId="3" xfId="0" applyBorder="1"/>
    <xf numFmtId="2" fontId="0" fillId="0" borderId="0" xfId="0" applyNumberFormat="1" applyAlignment="1">
      <alignment horizontal="center" vertical="center"/>
    </xf>
    <xf numFmtId="0" fontId="3" fillId="0" borderId="3" xfId="0" applyFont="1" applyBorder="1" applyAlignment="1">
      <alignment horizontal="center" wrapText="1"/>
    </xf>
    <xf numFmtId="0" fontId="2" fillId="0" borderId="7" xfId="0" applyFont="1" applyBorder="1"/>
    <xf numFmtId="0" fontId="0" fillId="0" borderId="19" xfId="0" applyBorder="1"/>
    <xf numFmtId="0" fontId="3" fillId="0" borderId="2" xfId="0" applyFont="1" applyBorder="1" applyAlignment="1">
      <alignment horizontal="center" vertical="top" wrapText="1"/>
    </xf>
    <xf numFmtId="0" fontId="0" fillId="0" borderId="0" xfId="0" applyAlignment="1">
      <alignment vertical="top" wrapText="1"/>
    </xf>
    <xf numFmtId="0" fontId="3" fillId="0" borderId="3" xfId="0" applyFont="1" applyBorder="1" applyAlignment="1">
      <alignment horizontal="center" vertical="top" wrapText="1"/>
    </xf>
    <xf numFmtId="164" fontId="0" fillId="0" borderId="0" xfId="0" applyNumberFormat="1" applyAlignment="1">
      <alignment horizontal="center" wrapText="1"/>
    </xf>
    <xf numFmtId="164" fontId="1" fillId="0" borderId="0" xfId="0" applyNumberFormat="1" applyFont="1" applyAlignment="1">
      <alignment horizontal="center" wrapText="1"/>
    </xf>
    <xf numFmtId="0" fontId="0" fillId="0" borderId="2" xfId="0" applyBorder="1" applyAlignment="1">
      <alignment vertical="center" wrapText="1"/>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0" fontId="1" fillId="0" borderId="2" xfId="0" applyFont="1" applyBorder="1" applyAlignment="1">
      <alignment horizontal="center" vertical="center"/>
    </xf>
    <xf numFmtId="0" fontId="0" fillId="0" borderId="0" xfId="0" applyAlignment="1">
      <alignment horizontal="center" vertical="top" wrapText="1"/>
    </xf>
    <xf numFmtId="0" fontId="0" fillId="0" borderId="17" xfId="0" applyBorder="1" applyAlignment="1">
      <alignment horizontal="center" vertical="top" wrapText="1"/>
    </xf>
    <xf numFmtId="164" fontId="1" fillId="0" borderId="4" xfId="0" quotePrefix="1" applyNumberFormat="1" applyFont="1" applyBorder="1" applyAlignment="1">
      <alignment horizontal="center"/>
    </xf>
    <xf numFmtId="0" fontId="1" fillId="0" borderId="17" xfId="0" applyFont="1" applyBorder="1" applyAlignment="1">
      <alignment horizontal="left"/>
    </xf>
    <xf numFmtId="2" fontId="1" fillId="0" borderId="2" xfId="0" quotePrefix="1" applyNumberFormat="1" applyFont="1" applyBorder="1" applyAlignment="1">
      <alignment horizontal="center"/>
    </xf>
    <xf numFmtId="2" fontId="1" fillId="0" borderId="3" xfId="0" quotePrefix="1" applyNumberFormat="1" applyFont="1" applyBorder="1" applyAlignment="1">
      <alignment horizontal="center"/>
    </xf>
    <xf numFmtId="0" fontId="1" fillId="0" borderId="3" xfId="0" quotePrefix="1" applyFont="1" applyBorder="1" applyAlignment="1">
      <alignment horizont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2" fontId="1" fillId="0" borderId="4" xfId="0" quotePrefix="1" applyNumberFormat="1" applyFont="1" applyBorder="1" applyAlignment="1">
      <alignment horizontal="center"/>
    </xf>
    <xf numFmtId="0" fontId="3" fillId="0" borderId="4" xfId="0" applyFont="1" applyBorder="1" applyAlignment="1">
      <alignment horizontal="center"/>
    </xf>
    <xf numFmtId="164" fontId="0" fillId="0" borderId="2" xfId="0" quotePrefix="1" applyNumberFormat="1" applyBorder="1" applyAlignment="1">
      <alignment horizontal="center"/>
    </xf>
    <xf numFmtId="164" fontId="0" fillId="0" borderId="3" xfId="0" quotePrefix="1" applyNumberFormat="1" applyBorder="1" applyAlignment="1">
      <alignment horizontal="center"/>
    </xf>
    <xf numFmtId="164" fontId="0" fillId="0" borderId="10" xfId="0" quotePrefix="1" applyNumberFormat="1" applyBorder="1" applyAlignment="1">
      <alignment horizontal="center"/>
    </xf>
    <xf numFmtId="0" fontId="1" fillId="0" borderId="0" xfId="0" applyFont="1" applyAlignment="1">
      <alignment horizontal="left" vertical="center"/>
    </xf>
    <xf numFmtId="164" fontId="0" fillId="0" borderId="0" xfId="0" quotePrefix="1" applyNumberFormat="1" applyAlignment="1">
      <alignment horizontal="center"/>
    </xf>
    <xf numFmtId="1" fontId="0" fillId="0" borderId="10" xfId="0" applyNumberFormat="1" applyBorder="1" applyAlignment="1">
      <alignment horizontal="center" vertical="center"/>
    </xf>
    <xf numFmtId="2" fontId="0" fillId="0" borderId="0" xfId="0" applyNumberFormat="1"/>
    <xf numFmtId="0" fontId="1" fillId="4" borderId="23" xfId="0" applyFont="1" applyFill="1" applyBorder="1" applyAlignment="1">
      <alignment horizontal="right"/>
    </xf>
    <xf numFmtId="0" fontId="1" fillId="4" borderId="24" xfId="0" applyFont="1" applyFill="1" applyBorder="1" applyAlignment="1">
      <alignment horizontal="left"/>
    </xf>
    <xf numFmtId="3" fontId="0" fillId="4" borderId="25" xfId="0" applyNumberFormat="1" applyFill="1" applyBorder="1" applyAlignment="1">
      <alignment horizontal="center"/>
    </xf>
    <xf numFmtId="0" fontId="20" fillId="0" borderId="0" xfId="0" applyFont="1"/>
    <xf numFmtId="0" fontId="1" fillId="0" borderId="2" xfId="0" applyFont="1" applyBorder="1" applyAlignment="1">
      <alignment horizontal="center" vertical="center" wrapText="1"/>
    </xf>
    <xf numFmtId="2" fontId="0" fillId="0" borderId="27" xfId="0" applyNumberFormat="1" applyBorder="1" applyAlignment="1">
      <alignment horizontal="center"/>
    </xf>
    <xf numFmtId="0" fontId="3" fillId="0" borderId="13" xfId="0" applyFont="1" applyBorder="1" applyAlignment="1">
      <alignment horizontal="center" vertical="top" wrapText="1"/>
    </xf>
    <xf numFmtId="0" fontId="1" fillId="0" borderId="19" xfId="0" applyFont="1" applyBorder="1" applyAlignment="1">
      <alignment horizontal="center" vertical="center"/>
    </xf>
    <xf numFmtId="0" fontId="14" fillId="0" borderId="0" xfId="0" applyFont="1"/>
    <xf numFmtId="0" fontId="3" fillId="0" borderId="27" xfId="0" applyFont="1" applyBorder="1" applyAlignment="1">
      <alignment vertical="top" wrapText="1"/>
    </xf>
    <xf numFmtId="0" fontId="1" fillId="0" borderId="54" xfId="0" applyFont="1" applyBorder="1" applyAlignment="1">
      <alignment horizontal="center"/>
    </xf>
    <xf numFmtId="3" fontId="1" fillId="0" borderId="54" xfId="0" applyNumberFormat="1" applyFont="1" applyBorder="1" applyAlignment="1">
      <alignment horizontal="center"/>
    </xf>
    <xf numFmtId="0" fontId="3" fillId="0" borderId="55" xfId="0" applyFont="1" applyBorder="1" applyAlignment="1">
      <alignment vertical="top" wrapText="1"/>
    </xf>
    <xf numFmtId="0" fontId="1" fillId="0" borderId="58" xfId="0" applyFont="1" applyBorder="1"/>
    <xf numFmtId="0" fontId="1" fillId="0" borderId="26" xfId="0" applyFont="1" applyBorder="1"/>
    <xf numFmtId="0" fontId="1" fillId="0" borderId="59" xfId="0" applyFont="1" applyBorder="1"/>
    <xf numFmtId="0" fontId="1" fillId="0" borderId="50" xfId="0" applyFont="1" applyBorder="1"/>
    <xf numFmtId="0" fontId="1" fillId="0" borderId="45" xfId="0" applyFont="1" applyBorder="1"/>
    <xf numFmtId="0" fontId="0" fillId="0" borderId="60" xfId="0" applyBorder="1" applyAlignment="1">
      <alignment horizontal="left"/>
    </xf>
    <xf numFmtId="0" fontId="0" fillId="0" borderId="60" xfId="0" applyBorder="1" applyAlignment="1">
      <alignment horizontal="center"/>
    </xf>
    <xf numFmtId="0" fontId="0" fillId="0" borderId="45" xfId="0" applyBorder="1" applyAlignment="1">
      <alignment horizontal="center"/>
    </xf>
    <xf numFmtId="0" fontId="0" fillId="0" borderId="45" xfId="0" applyBorder="1" applyAlignment="1">
      <alignment horizontal="left"/>
    </xf>
    <xf numFmtId="0" fontId="1" fillId="0" borderId="31" xfId="0" applyFon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65" fontId="0" fillId="0" borderId="61" xfId="0" applyNumberFormat="1" applyBorder="1" applyAlignment="1">
      <alignment horizontal="center"/>
    </xf>
    <xf numFmtId="165" fontId="0" fillId="0" borderId="62" xfId="0" applyNumberFormat="1" applyBorder="1" applyAlignment="1">
      <alignment horizontal="center"/>
    </xf>
    <xf numFmtId="165" fontId="0" fillId="0" borderId="31" xfId="0" applyNumberFormat="1" applyBorder="1" applyAlignment="1">
      <alignment horizontal="center"/>
    </xf>
    <xf numFmtId="0" fontId="1" fillId="0" borderId="9" xfId="0" applyFont="1" applyBorder="1" applyAlignment="1">
      <alignment horizontal="center"/>
    </xf>
    <xf numFmtId="164" fontId="0" fillId="0" borderId="20" xfId="0" applyNumberFormat="1" applyBorder="1" applyAlignment="1">
      <alignment horizontal="center"/>
    </xf>
    <xf numFmtId="0" fontId="1" fillId="0" borderId="46" xfId="0" applyFont="1" applyBorder="1"/>
    <xf numFmtId="0" fontId="1" fillId="0" borderId="7" xfId="0" applyFont="1" applyBorder="1" applyAlignment="1">
      <alignment horizontal="center"/>
    </xf>
    <xf numFmtId="0" fontId="1" fillId="0" borderId="48" xfId="0" applyFon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0" fontId="3" fillId="0" borderId="27" xfId="0" applyFont="1" applyBorder="1" applyAlignment="1">
      <alignment horizontal="centerContinuous"/>
    </xf>
    <xf numFmtId="0" fontId="3" fillId="0" borderId="8" xfId="0" applyFont="1" applyBorder="1" applyAlignment="1">
      <alignment horizontal="center"/>
    </xf>
    <xf numFmtId="0" fontId="3" fillId="0" borderId="19" xfId="0" applyFont="1" applyBorder="1" applyAlignment="1">
      <alignment horizontal="center"/>
    </xf>
    <xf numFmtId="164" fontId="22" fillId="5" borderId="19" xfId="1" applyNumberFormat="1" applyFill="1" applyBorder="1"/>
    <xf numFmtId="0" fontId="0" fillId="5" borderId="8" xfId="0" applyFill="1" applyBorder="1"/>
    <xf numFmtId="2"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3" fillId="5" borderId="15" xfId="0" applyNumberFormat="1" applyFont="1" applyFill="1" applyBorder="1" applyAlignment="1">
      <alignment horizontal="center"/>
    </xf>
    <xf numFmtId="164" fontId="3" fillId="5" borderId="11" xfId="0" applyNumberFormat="1" applyFont="1" applyFill="1" applyBorder="1" applyAlignment="1">
      <alignment horizontal="center" vertical="center"/>
    </xf>
    <xf numFmtId="164" fontId="1" fillId="0" borderId="3" xfId="0" quotePrefix="1" applyNumberFormat="1" applyFont="1" applyBorder="1" applyAlignment="1">
      <alignment horizontal="center"/>
    </xf>
    <xf numFmtId="164" fontId="1" fillId="0" borderId="10" xfId="0" quotePrefix="1" applyNumberFormat="1" applyFont="1" applyBorder="1" applyAlignment="1">
      <alignment horizontal="center"/>
    </xf>
    <xf numFmtId="164" fontId="1" fillId="0" borderId="11" xfId="0" quotePrefix="1" applyNumberFormat="1" applyFont="1" applyBorder="1" applyAlignment="1">
      <alignment horizontal="center"/>
    </xf>
    <xf numFmtId="164" fontId="3" fillId="5" borderId="11" xfId="0" applyNumberFormat="1" applyFont="1" applyFill="1" applyBorder="1" applyAlignment="1">
      <alignment horizontal="center"/>
    </xf>
    <xf numFmtId="0" fontId="0" fillId="0" borderId="27" xfId="0" applyBorder="1"/>
    <xf numFmtId="0" fontId="1" fillId="0" borderId="27" xfId="0" applyFont="1" applyBorder="1"/>
    <xf numFmtId="0" fontId="0" fillId="0" borderId="45" xfId="0" applyBorder="1"/>
    <xf numFmtId="0" fontId="1" fillId="0" borderId="46" xfId="0" applyFont="1" applyBorder="1" applyAlignment="1">
      <alignment horizontal="center"/>
    </xf>
    <xf numFmtId="164" fontId="0" fillId="0" borderId="0" xfId="0" applyNumberFormat="1" applyAlignment="1">
      <alignment horizontal="left"/>
    </xf>
    <xf numFmtId="164" fontId="0" fillId="0" borderId="27" xfId="0" applyNumberFormat="1" applyBorder="1" applyAlignment="1">
      <alignment horizontal="left"/>
    </xf>
    <xf numFmtId="0" fontId="0" fillId="0" borderId="31" xfId="0" applyBorder="1"/>
    <xf numFmtId="0" fontId="24" fillId="6" borderId="47" xfId="2" applyFill="1" applyBorder="1" applyAlignment="1">
      <alignment horizontal="center"/>
    </xf>
    <xf numFmtId="0" fontId="1" fillId="0" borderId="17" xfId="0" applyFont="1" applyBorder="1" applyAlignment="1">
      <alignment vertical="top"/>
    </xf>
    <xf numFmtId="164" fontId="0" fillId="0" borderId="2" xfId="0" applyNumberFormat="1" applyBorder="1" applyAlignment="1" applyProtection="1">
      <alignment horizontal="center"/>
      <protection locked="0"/>
    </xf>
    <xf numFmtId="0" fontId="0" fillId="2" borderId="2" xfId="0"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2" borderId="2" xfId="0" quotePrefix="1" applyFill="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2" borderId="4" xfId="0" quotePrefix="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166" fontId="0" fillId="0" borderId="2" xfId="0" applyNumberFormat="1" applyBorder="1" applyAlignment="1" applyProtection="1">
      <alignment horizontal="center" vertical="top"/>
      <protection locked="0"/>
    </xf>
    <xf numFmtId="166" fontId="1" fillId="0" borderId="2" xfId="0" applyNumberFormat="1" applyFont="1" applyBorder="1" applyAlignment="1" applyProtection="1">
      <alignment horizontal="center"/>
      <protection locked="0"/>
    </xf>
    <xf numFmtId="164" fontId="1" fillId="0" borderId="2" xfId="0" applyNumberFormat="1" applyFont="1" applyBorder="1" applyAlignment="1" applyProtection="1">
      <alignment horizontal="center"/>
      <protection locked="0"/>
    </xf>
    <xf numFmtId="166" fontId="0" fillId="0" borderId="2" xfId="0" applyNumberFormat="1" applyBorder="1" applyAlignment="1" applyProtection="1">
      <alignment horizontal="center"/>
      <protection locked="0"/>
    </xf>
    <xf numFmtId="1" fontId="0" fillId="2" borderId="8" xfId="0" applyNumberFormat="1" applyFill="1" applyBorder="1" applyAlignment="1" applyProtection="1">
      <alignment horizontal="center"/>
      <protection locked="0"/>
    </xf>
    <xf numFmtId="164" fontId="0" fillId="0" borderId="8" xfId="0" applyNumberFormat="1" applyBorder="1" applyAlignment="1" applyProtection="1">
      <alignment horizontal="center"/>
      <protection locked="0"/>
    </xf>
    <xf numFmtId="164" fontId="1" fillId="0" borderId="2" xfId="0" quotePrefix="1" applyNumberFormat="1" applyFont="1" applyBorder="1" applyAlignment="1" applyProtection="1">
      <alignment horizontal="center"/>
      <protection locked="0"/>
    </xf>
    <xf numFmtId="164" fontId="1" fillId="0" borderId="3" xfId="0" applyNumberFormat="1" applyFont="1" applyBorder="1" applyProtection="1">
      <protection locked="0"/>
    </xf>
    <xf numFmtId="164" fontId="1" fillId="0" borderId="21" xfId="0" quotePrefix="1" applyNumberFormat="1" applyFont="1" applyBorder="1" applyAlignment="1" applyProtection="1">
      <alignment horizontal="center"/>
      <protection locked="0"/>
    </xf>
    <xf numFmtId="164" fontId="1" fillId="0" borderId="22" xfId="0" applyNumberFormat="1" applyFont="1" applyBorder="1" applyProtection="1">
      <protection locked="0"/>
    </xf>
    <xf numFmtId="164" fontId="0" fillId="0" borderId="2" xfId="0" applyNumberFormat="1" applyBorder="1" applyAlignment="1" applyProtection="1">
      <alignment horizontal="center" vertical="top"/>
      <protection locked="0"/>
    </xf>
    <xf numFmtId="164" fontId="0" fillId="0" borderId="2" xfId="0" quotePrefix="1" applyNumberFormat="1" applyBorder="1" applyAlignment="1" applyProtection="1">
      <alignment horizontal="center"/>
      <protection locked="0"/>
    </xf>
    <xf numFmtId="164" fontId="0" fillId="0" borderId="3" xfId="0" applyNumberFormat="1" applyBorder="1" applyProtection="1">
      <protection locked="0"/>
    </xf>
    <xf numFmtId="164" fontId="0" fillId="0" borderId="21" xfId="0" quotePrefix="1" applyNumberFormat="1" applyBorder="1" applyAlignment="1" applyProtection="1">
      <alignment horizontal="center"/>
      <protection locked="0"/>
    </xf>
    <xf numFmtId="164" fontId="0" fillId="0" borderId="22" xfId="0" applyNumberFormat="1" applyBorder="1" applyProtection="1">
      <protection locked="0"/>
    </xf>
    <xf numFmtId="0" fontId="1" fillId="0" borderId="17" xfId="0" applyFont="1" applyBorder="1"/>
    <xf numFmtId="0" fontId="1" fillId="0" borderId="2" xfId="0" applyFont="1" applyBorder="1"/>
    <xf numFmtId="0" fontId="0" fillId="0" borderId="4" xfId="0" applyBorder="1"/>
    <xf numFmtId="0" fontId="1" fillId="0" borderId="16" xfId="0" applyFont="1" applyBorder="1"/>
    <xf numFmtId="0" fontId="0" fillId="7" borderId="8" xfId="0" applyFill="1" applyBorder="1"/>
    <xf numFmtId="0" fontId="0" fillId="7" borderId="19" xfId="0" applyFill="1" applyBorder="1"/>
    <xf numFmtId="0" fontId="0" fillId="8" borderId="8" xfId="0" applyFill="1" applyBorder="1"/>
    <xf numFmtId="0" fontId="0" fillId="8" borderId="19" xfId="0" applyFill="1" applyBorder="1"/>
    <xf numFmtId="0" fontId="0" fillId="9" borderId="8" xfId="0" applyFill="1" applyBorder="1"/>
    <xf numFmtId="0" fontId="0" fillId="9" borderId="19" xfId="0" applyFill="1" applyBorder="1"/>
    <xf numFmtId="0" fontId="0" fillId="10" borderId="8" xfId="0" applyFill="1" applyBorder="1"/>
    <xf numFmtId="0" fontId="0" fillId="10" borderId="19" xfId="0" applyFill="1" applyBorder="1"/>
    <xf numFmtId="0" fontId="1" fillId="0" borderId="6" xfId="0" applyFont="1" applyBorder="1" applyAlignment="1">
      <alignment vertical="top"/>
    </xf>
    <xf numFmtId="164" fontId="0" fillId="11" borderId="2" xfId="0" applyNumberFormat="1" applyFill="1" applyBorder="1" applyAlignment="1" applyProtection="1">
      <alignment horizontal="center"/>
      <protection locked="0"/>
    </xf>
    <xf numFmtId="164" fontId="0" fillId="11" borderId="4" xfId="0" applyNumberFormat="1" applyFill="1" applyBorder="1" applyAlignment="1" applyProtection="1">
      <alignment horizontal="center"/>
      <protection locked="0"/>
    </xf>
    <xf numFmtId="164" fontId="0" fillId="11" borderId="2" xfId="0" applyNumberFormat="1" applyFill="1" applyBorder="1" applyAlignment="1" applyProtection="1">
      <alignment horizontal="center" vertical="top"/>
      <protection locked="0"/>
    </xf>
    <xf numFmtId="164" fontId="1" fillId="11" borderId="2" xfId="0" applyNumberFormat="1" applyFont="1" applyFill="1" applyBorder="1" applyAlignment="1" applyProtection="1">
      <alignment horizontal="center"/>
      <protection locked="0"/>
    </xf>
    <xf numFmtId="164" fontId="0" fillId="11" borderId="8" xfId="0" applyNumberFormat="1" applyFill="1" applyBorder="1" applyAlignment="1" applyProtection="1">
      <alignment horizontal="center"/>
      <protection locked="0"/>
    </xf>
    <xf numFmtId="1" fontId="0" fillId="11" borderId="10" xfId="0" applyNumberFormat="1" applyFill="1" applyBorder="1" applyAlignment="1" applyProtection="1">
      <alignment horizontal="center" vertical="center"/>
      <protection locked="0"/>
    </xf>
    <xf numFmtId="164" fontId="0" fillId="11" borderId="2" xfId="0" applyNumberFormat="1" applyFill="1" applyBorder="1" applyProtection="1">
      <protection locked="0"/>
    </xf>
    <xf numFmtId="164" fontId="0" fillId="11" borderId="8" xfId="0" applyNumberFormat="1" applyFill="1" applyBorder="1" applyProtection="1">
      <protection locked="0"/>
    </xf>
    <xf numFmtId="0" fontId="1" fillId="8" borderId="30" xfId="0" applyFont="1" applyFill="1" applyBorder="1" applyAlignment="1" applyProtection="1">
      <alignment horizontal="center"/>
      <protection locked="0"/>
    </xf>
    <xf numFmtId="0" fontId="0" fillId="8" borderId="2" xfId="0" applyFill="1" applyBorder="1" applyAlignment="1" applyProtection="1">
      <alignment horizontal="center"/>
      <protection locked="0"/>
    </xf>
    <xf numFmtId="164" fontId="0" fillId="9" borderId="2" xfId="0" applyNumberFormat="1" applyFill="1" applyBorder="1" applyAlignment="1" applyProtection="1">
      <alignment horizontal="center"/>
      <protection locked="0"/>
    </xf>
    <xf numFmtId="164" fontId="0" fillId="9" borderId="4" xfId="0" applyNumberFormat="1" applyFill="1" applyBorder="1" applyAlignment="1" applyProtection="1">
      <alignment horizontal="center"/>
      <protection locked="0"/>
    </xf>
    <xf numFmtId="164" fontId="1" fillId="9" borderId="3" xfId="0" applyNumberFormat="1" applyFont="1" applyFill="1" applyBorder="1" applyAlignment="1" applyProtection="1">
      <alignment horizontal="center"/>
      <protection locked="0"/>
    </xf>
    <xf numFmtId="164" fontId="1" fillId="9" borderId="2" xfId="0" applyNumberFormat="1" applyFont="1" applyFill="1" applyBorder="1" applyAlignment="1" applyProtection="1">
      <alignment horizontal="center" wrapText="1"/>
      <protection locked="0"/>
    </xf>
    <xf numFmtId="164" fontId="1" fillId="9" borderId="3" xfId="0" applyNumberFormat="1" applyFont="1" applyFill="1" applyBorder="1" applyAlignment="1" applyProtection="1">
      <alignment horizontal="center" wrapText="1"/>
      <protection locked="0"/>
    </xf>
    <xf numFmtId="164" fontId="1" fillId="9" borderId="2" xfId="0" applyNumberFormat="1" applyFont="1" applyFill="1" applyBorder="1" applyAlignment="1" applyProtection="1">
      <alignment horizontal="center"/>
      <protection locked="0"/>
    </xf>
    <xf numFmtId="164" fontId="1" fillId="9" borderId="4" xfId="0" applyNumberFormat="1" applyFont="1" applyFill="1" applyBorder="1" applyAlignment="1" applyProtection="1">
      <alignment horizontal="center"/>
      <protection locked="0"/>
    </xf>
    <xf numFmtId="164" fontId="1" fillId="9" borderId="15" xfId="0" applyNumberFormat="1" applyFont="1" applyFill="1" applyBorder="1" applyAlignment="1" applyProtection="1">
      <alignment horizontal="center"/>
      <protection locked="0"/>
    </xf>
    <xf numFmtId="2" fontId="0" fillId="9" borderId="2" xfId="0" applyNumberFormat="1" applyFill="1" applyBorder="1" applyAlignment="1" applyProtection="1">
      <alignment horizontal="center"/>
      <protection locked="0"/>
    </xf>
    <xf numFmtId="2" fontId="0" fillId="9" borderId="3" xfId="0" applyNumberFormat="1" applyFill="1" applyBorder="1" applyAlignment="1" applyProtection="1">
      <alignment horizontal="center"/>
      <protection locked="0"/>
    </xf>
    <xf numFmtId="2" fontId="0" fillId="9" borderId="30" xfId="0" applyNumberFormat="1" applyFill="1" applyBorder="1" applyAlignment="1" applyProtection="1">
      <alignment horizontal="center"/>
      <protection locked="0"/>
    </xf>
    <xf numFmtId="2" fontId="0" fillId="9" borderId="31" xfId="0" applyNumberFormat="1" applyFill="1" applyBorder="1" applyAlignment="1" applyProtection="1">
      <alignment horizontal="center"/>
      <protection locked="0"/>
    </xf>
    <xf numFmtId="2" fontId="0" fillId="9" borderId="27" xfId="0" applyNumberFormat="1" applyFill="1" applyBorder="1" applyAlignment="1" applyProtection="1">
      <alignment horizontal="center"/>
      <protection locked="0"/>
    </xf>
    <xf numFmtId="165" fontId="0" fillId="9" borderId="19" xfId="0" applyNumberFormat="1" applyFill="1" applyBorder="1" applyAlignment="1" applyProtection="1">
      <alignment horizontal="center"/>
      <protection locked="0"/>
    </xf>
    <xf numFmtId="165" fontId="0" fillId="9" borderId="13" xfId="0" applyNumberFormat="1" applyFill="1" applyBorder="1" applyAlignment="1" applyProtection="1">
      <alignment horizontal="center"/>
      <protection locked="0"/>
    </xf>
    <xf numFmtId="165" fontId="0" fillId="9" borderId="2" xfId="0" applyNumberFormat="1" applyFill="1" applyBorder="1" applyAlignment="1" applyProtection="1">
      <alignment horizontal="center"/>
      <protection locked="0"/>
    </xf>
    <xf numFmtId="165" fontId="0" fillId="9" borderId="3" xfId="0" applyNumberFormat="1" applyFill="1" applyBorder="1" applyAlignment="1" applyProtection="1">
      <alignment horizontal="center"/>
      <protection locked="0"/>
    </xf>
    <xf numFmtId="165" fontId="0" fillId="9" borderId="21" xfId="0" applyNumberFormat="1" applyFill="1" applyBorder="1" applyAlignment="1" applyProtection="1">
      <alignment horizontal="center"/>
      <protection locked="0"/>
    </xf>
    <xf numFmtId="165" fontId="0" fillId="9" borderId="22" xfId="0" applyNumberFormat="1" applyFill="1" applyBorder="1" applyAlignment="1" applyProtection="1">
      <alignment horizontal="center"/>
      <protection locked="0"/>
    </xf>
    <xf numFmtId="164" fontId="1" fillId="9" borderId="4" xfId="0" quotePrefix="1" applyNumberFormat="1" applyFont="1" applyFill="1" applyBorder="1" applyAlignment="1" applyProtection="1">
      <alignment horizontal="center"/>
      <protection locked="0"/>
    </xf>
    <xf numFmtId="2" fontId="0" fillId="9" borderId="4" xfId="0" applyNumberFormat="1" applyFill="1" applyBorder="1" applyAlignment="1" applyProtection="1">
      <alignment horizontal="center"/>
      <protection locked="0"/>
    </xf>
    <xf numFmtId="2" fontId="0" fillId="9" borderId="15" xfId="0" applyNumberFormat="1" applyFill="1" applyBorder="1" applyAlignment="1" applyProtection="1">
      <alignment horizontal="center"/>
      <protection locked="0"/>
    </xf>
    <xf numFmtId="166" fontId="0" fillId="0" borderId="2" xfId="0" applyNumberFormat="1" applyBorder="1" applyAlignment="1">
      <alignment horizontal="center" vertical="top"/>
    </xf>
    <xf numFmtId="166" fontId="0" fillId="0" borderId="8" xfId="0" applyNumberFormat="1" applyBorder="1" applyAlignment="1">
      <alignment horizontal="center"/>
    </xf>
    <xf numFmtId="0" fontId="0" fillId="11" borderId="2" xfId="0" quotePrefix="1" applyFill="1" applyBorder="1" applyAlignment="1" applyProtection="1">
      <alignment horizontal="center"/>
      <protection locked="0"/>
    </xf>
    <xf numFmtId="0" fontId="0" fillId="11" borderId="2" xfId="0" applyFill="1" applyBorder="1" applyAlignment="1" applyProtection="1">
      <alignment horizontal="center"/>
      <protection locked="0"/>
    </xf>
    <xf numFmtId="0" fontId="1" fillId="11" borderId="2" xfId="0" applyFont="1" applyFill="1" applyBorder="1" applyAlignment="1" applyProtection="1">
      <alignment horizontal="center"/>
      <protection locked="0"/>
    </xf>
    <xf numFmtId="1" fontId="0" fillId="11" borderId="2" xfId="0" applyNumberFormat="1" applyFill="1" applyBorder="1" applyAlignment="1" applyProtection="1">
      <alignment horizontal="center"/>
      <protection locked="0"/>
    </xf>
    <xf numFmtId="0" fontId="1" fillId="10" borderId="2" xfId="0" applyFont="1" applyFill="1" applyBorder="1" applyProtection="1">
      <protection locked="0"/>
    </xf>
    <xf numFmtId="0" fontId="0" fillId="0" borderId="8" xfId="0" applyBorder="1"/>
    <xf numFmtId="0" fontId="25" fillId="0" borderId="0" xfId="0" applyFont="1"/>
    <xf numFmtId="2" fontId="1" fillId="9" borderId="27" xfId="0" applyNumberFormat="1" applyFont="1" applyFill="1" applyBorder="1" applyAlignment="1" applyProtection="1">
      <alignment horizontal="center"/>
      <protection locked="0"/>
    </xf>
    <xf numFmtId="166" fontId="0" fillId="0" borderId="8" xfId="0" applyNumberFormat="1" applyBorder="1" applyAlignment="1" applyProtection="1">
      <alignment horizontal="center"/>
      <protection locked="0"/>
    </xf>
    <xf numFmtId="0" fontId="0" fillId="10" borderId="2" xfId="0" applyFill="1" applyBorder="1" applyProtection="1">
      <protection locked="0"/>
    </xf>
    <xf numFmtId="0" fontId="0" fillId="10" borderId="4" xfId="0" applyFill="1" applyBorder="1" applyProtection="1">
      <protection locked="0"/>
    </xf>
    <xf numFmtId="0" fontId="0" fillId="10" borderId="8" xfId="0" applyFill="1" applyBorder="1" applyProtection="1">
      <protection locked="0"/>
    </xf>
    <xf numFmtId="0" fontId="3" fillId="0" borderId="0" xfId="0" applyFont="1" applyAlignment="1">
      <alignment horizontal="center"/>
    </xf>
    <xf numFmtId="0" fontId="1" fillId="0" borderId="15" xfId="0" quotePrefix="1" applyFont="1" applyBorder="1" applyAlignment="1">
      <alignment horizontal="center"/>
    </xf>
    <xf numFmtId="0" fontId="1" fillId="0" borderId="16" xfId="0" quotePrefix="1" applyFont="1"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1" fillId="0" borderId="1" xfId="0" quotePrefix="1" applyFont="1" applyBorder="1" applyAlignment="1">
      <alignment horizontal="center"/>
    </xf>
    <xf numFmtId="0" fontId="1" fillId="0" borderId="9" xfId="0" quotePrefix="1" applyFont="1" applyBorder="1" applyAlignment="1">
      <alignment horizontal="center"/>
    </xf>
    <xf numFmtId="0" fontId="3" fillId="0" borderId="2" xfId="0" applyFont="1" applyBorder="1" applyAlignment="1">
      <alignment horizontal="center" vertical="center" wrapText="1"/>
    </xf>
    <xf numFmtId="0" fontId="1" fillId="0" borderId="2" xfId="0" applyFont="1" applyBorder="1" applyAlignment="1">
      <alignment horizontal="center"/>
    </xf>
    <xf numFmtId="0" fontId="0" fillId="0" borderId="2" xfId="0" applyBorder="1" applyAlignment="1">
      <alignment horizontal="center"/>
    </xf>
    <xf numFmtId="0" fontId="1" fillId="0" borderId="17" xfId="0" applyFont="1" applyBorder="1"/>
    <xf numFmtId="0" fontId="1" fillId="0" borderId="2" xfId="0" applyFont="1" applyBorder="1"/>
    <xf numFmtId="2" fontId="0" fillId="0" borderId="2" xfId="0" applyNumberFormat="1" applyBorder="1" applyAlignment="1">
      <alignment horizontal="center"/>
    </xf>
    <xf numFmtId="164" fontId="0" fillId="0" borderId="3" xfId="0" applyNumberFormat="1" applyBorder="1" applyAlignment="1">
      <alignment horizontal="center"/>
    </xf>
    <xf numFmtId="164" fontId="0" fillId="0" borderId="17" xfId="0" applyNumberFormat="1" applyBorder="1" applyAlignment="1">
      <alignment horizontal="center"/>
    </xf>
    <xf numFmtId="0" fontId="0" fillId="0" borderId="28" xfId="0" quotePrefix="1" applyBorder="1" applyAlignment="1">
      <alignment horizontal="center"/>
    </xf>
    <xf numFmtId="0" fontId="0" fillId="0" borderId="1" xfId="0" applyBorder="1"/>
    <xf numFmtId="0" fontId="3" fillId="0" borderId="17" xfId="0" applyFont="1"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3" fillId="0" borderId="29" xfId="0" applyFont="1" applyBorder="1" applyAlignment="1">
      <alignment horizontal="center" vertical="center"/>
    </xf>
    <xf numFmtId="2" fontId="1" fillId="0" borderId="16" xfId="0" applyNumberFormat="1" applyFont="1" applyBorder="1" applyAlignment="1">
      <alignment horizontal="left"/>
    </xf>
    <xf numFmtId="0" fontId="0" fillId="0" borderId="4" xfId="0" applyBorder="1"/>
    <xf numFmtId="164" fontId="0" fillId="0" borderId="15" xfId="0" applyNumberFormat="1" applyBorder="1" applyAlignment="1">
      <alignment horizontal="center"/>
    </xf>
    <xf numFmtId="164" fontId="0" fillId="0" borderId="16" xfId="0" applyNumberFormat="1" applyBorder="1" applyAlignment="1">
      <alignment horizontal="center"/>
    </xf>
    <xf numFmtId="164" fontId="0" fillId="0" borderId="4" xfId="0" applyNumberFormat="1" applyBorder="1" applyAlignment="1">
      <alignment horizontal="center"/>
    </xf>
    <xf numFmtId="164" fontId="0" fillId="0" borderId="2" xfId="0" applyNumberFormat="1" applyBorder="1" applyAlignment="1">
      <alignment horizontal="center"/>
    </xf>
    <xf numFmtId="0" fontId="1" fillId="0" borderId="16" xfId="0" applyFont="1" applyBorder="1"/>
    <xf numFmtId="0" fontId="1" fillId="0" borderId="4" xfId="0" applyFont="1" applyBorder="1"/>
    <xf numFmtId="165" fontId="3" fillId="5" borderId="2" xfId="0" applyNumberFormat="1" applyFont="1" applyFill="1" applyBorder="1" applyAlignment="1">
      <alignment horizontal="center"/>
    </xf>
    <xf numFmtId="165" fontId="3" fillId="5" borderId="4" xfId="0" applyNumberFormat="1" applyFont="1" applyFill="1" applyBorder="1" applyAlignment="1">
      <alignment horizontal="center"/>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2" fontId="0" fillId="0" borderId="4" xfId="0" applyNumberForma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165" fontId="0" fillId="0" borderId="15" xfId="0" applyNumberFormat="1" applyBorder="1" applyAlignment="1">
      <alignment horizontal="center"/>
    </xf>
    <xf numFmtId="0" fontId="1" fillId="0" borderId="17" xfId="0" applyFont="1" applyBorder="1" applyAlignment="1">
      <alignment horizontal="left"/>
    </xf>
    <xf numFmtId="0" fontId="1" fillId="0" borderId="2" xfId="0" applyFont="1" applyBorder="1" applyAlignment="1">
      <alignment horizontal="left"/>
    </xf>
    <xf numFmtId="2" fontId="1" fillId="0" borderId="4" xfId="0" applyNumberFormat="1" applyFont="1" applyBorder="1" applyAlignment="1">
      <alignment horizontal="left"/>
    </xf>
    <xf numFmtId="1" fontId="1" fillId="0" borderId="2" xfId="0" quotePrefix="1" applyNumberFormat="1" applyFont="1" applyBorder="1" applyAlignment="1">
      <alignment horizontal="center"/>
    </xf>
    <xf numFmtId="0" fontId="1" fillId="0" borderId="17" xfId="0" applyFont="1" applyBorder="1" applyAlignment="1">
      <alignment vertical="top"/>
    </xf>
    <xf numFmtId="0" fontId="1" fillId="0" borderId="2" xfId="0" applyFont="1" applyBorder="1" applyAlignment="1">
      <alignment vertical="top"/>
    </xf>
    <xf numFmtId="0" fontId="0" fillId="0" borderId="16" xfId="0" applyBorder="1" applyAlignment="1">
      <alignment horizontal="center"/>
    </xf>
    <xf numFmtId="2" fontId="1" fillId="0" borderId="17" xfId="0" applyNumberFormat="1" applyFont="1" applyBorder="1" applyAlignment="1">
      <alignment horizontal="left"/>
    </xf>
    <xf numFmtId="0" fontId="0" fillId="0" borderId="2" xfId="0" applyBorder="1"/>
    <xf numFmtId="0" fontId="1" fillId="0" borderId="2" xfId="0" quotePrefix="1" applyFont="1" applyBorder="1" applyAlignment="1">
      <alignment horizontal="center"/>
    </xf>
    <xf numFmtId="0" fontId="0" fillId="0" borderId="17" xfId="0" applyBorder="1"/>
    <xf numFmtId="0" fontId="0" fillId="0" borderId="14" xfId="0" applyBorder="1" applyAlignment="1">
      <alignment horizontal="center"/>
    </xf>
    <xf numFmtId="0" fontId="3" fillId="0" borderId="2" xfId="0" applyFont="1" applyBorder="1" applyAlignment="1">
      <alignment horizontal="center"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3" fillId="0" borderId="26" xfId="0" applyFont="1" applyBorder="1" applyAlignment="1">
      <alignment horizontal="left" vertical="center" wrapText="1"/>
    </xf>
    <xf numFmtId="0" fontId="0" fillId="0" borderId="6" xfId="0" applyBorder="1" applyAlignment="1">
      <alignment horizontal="left" vertical="center"/>
    </xf>
    <xf numFmtId="0" fontId="3" fillId="0" borderId="0" xfId="0" applyFont="1"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1" fillId="0" borderId="2" xfId="0" applyFont="1" applyBorder="1" applyAlignment="1">
      <alignment horizontal="center"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9" xfId="0" applyBorder="1"/>
    <xf numFmtId="0" fontId="0" fillId="0" borderId="2" xfId="0" applyBorder="1" applyAlignment="1">
      <alignment horizontal="center" wrapText="1"/>
    </xf>
    <xf numFmtId="0" fontId="0" fillId="0" borderId="2" xfId="0" applyBorder="1" applyAlignment="1">
      <alignment wrapText="1"/>
    </xf>
    <xf numFmtId="0" fontId="3" fillId="0" borderId="3" xfId="0" applyFont="1" applyBorder="1" applyAlignment="1">
      <alignment horizontal="center" wrapText="1"/>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xf numFmtId="0" fontId="0" fillId="0" borderId="29" xfId="0" applyBorder="1" applyAlignment="1">
      <alignment horizontal="center" vertical="center"/>
    </xf>
    <xf numFmtId="0" fontId="0" fillId="0" borderId="29" xfId="0" applyBorder="1" applyAlignment="1">
      <alignment horizontal="center"/>
    </xf>
    <xf numFmtId="164" fontId="0" fillId="0" borderId="8" xfId="0" applyNumberFormat="1" applyBorder="1" applyAlignment="1">
      <alignment horizontal="center" vertical="center"/>
    </xf>
    <xf numFmtId="164" fontId="0" fillId="0" borderId="30" xfId="0" applyNumberFormat="1" applyBorder="1" applyAlignment="1">
      <alignment horizontal="center" vertical="center"/>
    </xf>
    <xf numFmtId="2" fontId="3" fillId="5" borderId="8" xfId="0" applyNumberFormat="1" applyFont="1" applyFill="1" applyBorder="1" applyAlignment="1">
      <alignment horizontal="center" vertical="center"/>
    </xf>
    <xf numFmtId="0" fontId="3" fillId="5" borderId="30" xfId="0" applyFont="1" applyFill="1" applyBorder="1" applyAlignment="1">
      <alignment horizontal="center" vertical="center"/>
    </xf>
    <xf numFmtId="2" fontId="0" fillId="0" borderId="8" xfId="0" applyNumberFormat="1" applyBorder="1" applyAlignment="1">
      <alignment horizontal="center" vertical="center"/>
    </xf>
    <xf numFmtId="0" fontId="0" fillId="0" borderId="30" xfId="0" applyBorder="1" applyAlignment="1">
      <alignment horizontal="center" vertical="center"/>
    </xf>
    <xf numFmtId="164" fontId="3" fillId="5" borderId="20" xfId="0" applyNumberFormat="1" applyFont="1" applyFill="1" applyBorder="1" applyAlignment="1">
      <alignment horizontal="center" vertical="center"/>
    </xf>
    <xf numFmtId="164" fontId="3" fillId="5" borderId="31" xfId="0" applyNumberFormat="1" applyFont="1" applyFill="1" applyBorder="1" applyAlignment="1">
      <alignment horizontal="center" vertical="center"/>
    </xf>
    <xf numFmtId="164" fontId="0" fillId="0" borderId="19" xfId="0" applyNumberFormat="1" applyBorder="1" applyAlignment="1">
      <alignment horizontal="center" vertical="center"/>
    </xf>
    <xf numFmtId="0" fontId="3" fillId="5" borderId="19" xfId="0" applyFont="1" applyFill="1" applyBorder="1" applyAlignment="1">
      <alignment horizontal="center" vertical="center"/>
    </xf>
    <xf numFmtId="164" fontId="3" fillId="5" borderId="13" xfId="0" applyNumberFormat="1" applyFont="1" applyFill="1" applyBorder="1" applyAlignment="1">
      <alignment horizontal="center" vertical="center"/>
    </xf>
    <xf numFmtId="0" fontId="0" fillId="0" borderId="3" xfId="0"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2" fontId="0" fillId="0" borderId="30" xfId="0" applyNumberFormat="1" applyBorder="1" applyAlignment="1">
      <alignment horizontal="center" vertical="center"/>
    </xf>
    <xf numFmtId="2" fontId="0" fillId="0" borderId="20" xfId="0" applyNumberFormat="1" applyBorder="1" applyAlignment="1">
      <alignment horizontal="center" vertical="center"/>
    </xf>
    <xf numFmtId="2" fontId="0" fillId="0" borderId="6" xfId="0" applyNumberFormat="1" applyBorder="1" applyAlignment="1">
      <alignment horizontal="center" vertical="center"/>
    </xf>
    <xf numFmtId="2" fontId="0" fillId="0" borderId="31" xfId="0" applyNumberFormat="1" applyBorder="1" applyAlignment="1">
      <alignment horizontal="center" vertical="center"/>
    </xf>
    <xf numFmtId="2" fontId="0" fillId="0" borderId="32"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32" xfId="0" applyNumberFormat="1" applyBorder="1" applyAlignment="1">
      <alignment horizontal="center" vertical="center"/>
    </xf>
    <xf numFmtId="0" fontId="0" fillId="0" borderId="26" xfId="0" applyBorder="1" applyAlignment="1">
      <alignment vertical="center"/>
    </xf>
    <xf numFmtId="0" fontId="0" fillId="0" borderId="12" xfId="0" applyBorder="1" applyAlignment="1">
      <alignment vertical="center"/>
    </xf>
    <xf numFmtId="2" fontId="0" fillId="0" borderId="19" xfId="0" applyNumberFormat="1" applyBorder="1" applyAlignment="1">
      <alignment horizontal="center" vertical="center"/>
    </xf>
    <xf numFmtId="2" fontId="0" fillId="0" borderId="13" xfId="0" applyNumberFormat="1" applyBorder="1" applyAlignment="1">
      <alignment horizontal="center" vertical="center"/>
    </xf>
    <xf numFmtId="2" fontId="0" fillId="0" borderId="7"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7" xfId="0" applyNumberFormat="1" applyBorder="1" applyAlignment="1">
      <alignment horizontal="center" vertical="center"/>
    </xf>
    <xf numFmtId="2" fontId="0" fillId="0" borderId="3" xfId="0" applyNumberFormat="1" applyBorder="1" applyAlignment="1">
      <alignment horizontal="center"/>
    </xf>
    <xf numFmtId="2" fontId="0" fillId="0" borderId="17" xfId="0" applyNumberFormat="1" applyBorder="1" applyAlignment="1">
      <alignment horizontal="center"/>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2" fontId="3" fillId="0" borderId="2" xfId="0" applyNumberFormat="1" applyFont="1" applyBorder="1" applyAlignment="1">
      <alignment horizontal="center" vertical="top" wrapText="1"/>
    </xf>
    <xf numFmtId="0" fontId="0" fillId="0" borderId="2" xfId="0" applyBorder="1" applyAlignment="1">
      <alignment horizontal="center" vertical="top" wrapText="1"/>
    </xf>
    <xf numFmtId="0" fontId="3" fillId="0" borderId="20" xfId="0" applyFont="1" applyBorder="1" applyAlignment="1">
      <alignment horizontal="center" vertical="top" wrapText="1"/>
    </xf>
    <xf numFmtId="0" fontId="3" fillId="0" borderId="6" xfId="0" applyFont="1" applyBorder="1" applyAlignment="1">
      <alignment horizontal="center" vertical="top" wrapText="1"/>
    </xf>
    <xf numFmtId="0" fontId="3" fillId="0" borderId="1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wrapText="1"/>
    </xf>
    <xf numFmtId="0" fontId="0" fillId="0" borderId="19" xfId="0" applyBorder="1" applyAlignment="1">
      <alignment horizontal="center" vertical="center"/>
    </xf>
    <xf numFmtId="0" fontId="0" fillId="0" borderId="29" xfId="0" applyBorder="1"/>
    <xf numFmtId="0" fontId="1" fillId="0" borderId="28" xfId="0" quotePrefix="1" applyFont="1" applyBorder="1" applyAlignment="1">
      <alignment horizontal="center"/>
    </xf>
    <xf numFmtId="0" fontId="1" fillId="0" borderId="2" xfId="0" applyFont="1" applyBorder="1" applyAlignment="1">
      <alignment wrapText="1"/>
    </xf>
    <xf numFmtId="0" fontId="1" fillId="0" borderId="17" xfId="0" applyFont="1" applyBorder="1" applyAlignment="1">
      <alignment horizontal="center" vertical="center" wrapText="1"/>
    </xf>
    <xf numFmtId="0" fontId="1" fillId="0" borderId="3" xfId="0" applyFont="1" applyBorder="1" applyAlignment="1">
      <alignment horizontal="center" wrapText="1"/>
    </xf>
    <xf numFmtId="0" fontId="1" fillId="0" borderId="17" xfId="0" applyFont="1" applyBorder="1" applyAlignment="1">
      <alignment horizontal="center" wrapText="1"/>
    </xf>
    <xf numFmtId="0" fontId="1" fillId="0" borderId="2" xfId="0" applyFont="1" applyBorder="1" applyAlignment="1">
      <alignment horizontal="center" wrapText="1"/>
    </xf>
    <xf numFmtId="0" fontId="0" fillId="0" borderId="3" xfId="0" applyBorder="1" applyAlignment="1">
      <alignment horizontal="center" vertical="center" wrapText="1"/>
    </xf>
    <xf numFmtId="0" fontId="4" fillId="0" borderId="2" xfId="0" applyFont="1" applyBorder="1" applyAlignment="1">
      <alignment horizontal="center"/>
    </xf>
    <xf numFmtId="0" fontId="1" fillId="0" borderId="2" xfId="0" quotePrefix="1" applyFont="1" applyBorder="1" applyAlignment="1">
      <alignment horizontal="center" vertical="top" wrapText="1"/>
    </xf>
    <xf numFmtId="2" fontId="3" fillId="5" borderId="15" xfId="0" applyNumberFormat="1" applyFont="1" applyFill="1" applyBorder="1" applyAlignment="1">
      <alignment horizontal="center"/>
    </xf>
    <xf numFmtId="0" fontId="3" fillId="5" borderId="33" xfId="0" applyFont="1" applyFill="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33" xfId="0" applyNumberFormat="1" applyBorder="1" applyAlignment="1">
      <alignment horizontal="center"/>
    </xf>
    <xf numFmtId="0" fontId="0" fillId="0" borderId="8" xfId="0" applyBorder="1" applyAlignment="1">
      <alignment horizontal="center" vertical="top" wrapText="1"/>
    </xf>
    <xf numFmtId="0" fontId="0" fillId="0" borderId="8" xfId="0" applyBorder="1" applyAlignment="1">
      <alignment wrapText="1"/>
    </xf>
    <xf numFmtId="0" fontId="0" fillId="0" borderId="19" xfId="0" applyBorder="1" applyAlignment="1">
      <alignment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2" fontId="0" fillId="0" borderId="27" xfId="0" applyNumberFormat="1" applyBorder="1" applyAlignment="1">
      <alignment horizontal="center"/>
    </xf>
    <xf numFmtId="0" fontId="0" fillId="0" borderId="0" xfId="0"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3" fillId="0" borderId="26" xfId="0" applyFont="1" applyBorder="1" applyAlignment="1">
      <alignment horizontal="center" vertical="top" wrapText="1"/>
    </xf>
    <xf numFmtId="0" fontId="0" fillId="0" borderId="26" xfId="0" applyBorder="1" applyAlignment="1">
      <alignment wrapText="1"/>
    </xf>
    <xf numFmtId="0" fontId="0" fillId="0" borderId="0" xfId="0" applyAlignment="1">
      <alignment wrapText="1"/>
    </xf>
    <xf numFmtId="0" fontId="0" fillId="7" borderId="3"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1" fillId="0" borderId="8" xfId="0" applyFont="1" applyBorder="1" applyAlignment="1">
      <alignment horizontal="center" vertical="top" wrapText="1"/>
    </xf>
    <xf numFmtId="0" fontId="0" fillId="0" borderId="20" xfId="0" applyBorder="1" applyAlignment="1">
      <alignment wrapText="1"/>
    </xf>
    <xf numFmtId="0" fontId="0" fillId="0" borderId="13" xfId="0" applyBorder="1" applyAlignment="1">
      <alignment wrapText="1"/>
    </xf>
    <xf numFmtId="0" fontId="1" fillId="0" borderId="3" xfId="0" applyFont="1" applyBorder="1" applyAlignment="1">
      <alignment horizontal="center"/>
    </xf>
    <xf numFmtId="0" fontId="0" fillId="0" borderId="16" xfId="0" applyBorder="1"/>
    <xf numFmtId="0" fontId="0" fillId="0" borderId="33" xfId="0" applyBorder="1"/>
    <xf numFmtId="2" fontId="0" fillId="0" borderId="0" xfId="0" applyNumberFormat="1" applyAlignment="1">
      <alignment horizontal="center"/>
    </xf>
    <xf numFmtId="0" fontId="0" fillId="0" borderId="0" xfId="0"/>
    <xf numFmtId="0" fontId="1" fillId="0" borderId="17" xfId="0" applyFont="1" applyBorder="1" applyAlignment="1">
      <alignment horizontal="center" vertical="top"/>
    </xf>
    <xf numFmtId="0" fontId="1" fillId="0" borderId="2" xfId="0" applyFont="1" applyBorder="1" applyAlignment="1">
      <alignment horizontal="center" vertical="top"/>
    </xf>
    <xf numFmtId="0" fontId="4" fillId="0" borderId="17" xfId="0" applyFont="1" applyBorder="1" applyAlignment="1">
      <alignment horizontal="center"/>
    </xf>
    <xf numFmtId="0" fontId="1" fillId="0" borderId="6" xfId="0" applyFont="1" applyBorder="1" applyAlignment="1">
      <alignment horizontal="center" vertical="top" wrapText="1"/>
    </xf>
    <xf numFmtId="0" fontId="0" fillId="0" borderId="7" xfId="0" applyBorder="1" applyAlignment="1">
      <alignment wrapText="1"/>
    </xf>
    <xf numFmtId="0" fontId="1" fillId="0" borderId="14" xfId="0" applyFont="1" applyBorder="1"/>
    <xf numFmtId="0" fontId="0" fillId="0" borderId="14" xfId="0" applyBorder="1"/>
    <xf numFmtId="0" fontId="1" fillId="0" borderId="34" xfId="0" applyFont="1" applyBorder="1"/>
    <xf numFmtId="0" fontId="0" fillId="0" borderId="34" xfId="0" applyBorder="1"/>
    <xf numFmtId="0" fontId="0" fillId="0" borderId="35" xfId="0" applyBorder="1"/>
    <xf numFmtId="0" fontId="0" fillId="7" borderId="14" xfId="0" applyFill="1" applyBorder="1" applyProtection="1">
      <protection locked="0"/>
    </xf>
    <xf numFmtId="0" fontId="0" fillId="0" borderId="3" xfId="0" quotePrefix="1" applyBorder="1" applyAlignment="1">
      <alignment horizontal="center"/>
    </xf>
    <xf numFmtId="0" fontId="0" fillId="0" borderId="5" xfId="0" applyBorder="1"/>
    <xf numFmtId="0" fontId="3" fillId="0" borderId="13" xfId="0" applyFont="1" applyBorder="1" applyAlignment="1">
      <alignment horizontal="center"/>
    </xf>
    <xf numFmtId="0" fontId="0" fillId="0" borderId="12" xfId="0" applyBorder="1" applyAlignment="1">
      <alignment horizontal="center"/>
    </xf>
    <xf numFmtId="0" fontId="1" fillId="10" borderId="27" xfId="0" applyFont="1" applyFill="1" applyBorder="1" applyAlignment="1" applyProtection="1">
      <alignment horizontal="center"/>
      <protection locked="0"/>
    </xf>
    <xf numFmtId="0" fontId="0" fillId="10" borderId="0" xfId="0" applyFill="1" applyProtection="1">
      <protection locked="0"/>
    </xf>
    <xf numFmtId="0" fontId="0" fillId="10" borderId="5" xfId="0" applyFill="1" applyBorder="1" applyProtection="1">
      <protection locked="0"/>
    </xf>
    <xf numFmtId="0" fontId="0" fillId="0" borderId="27" xfId="0" applyBorder="1"/>
    <xf numFmtId="0" fontId="0" fillId="0" borderId="26" xfId="0" applyBorder="1"/>
    <xf numFmtId="0" fontId="1" fillId="10" borderId="20" xfId="0" applyFont="1" applyFill="1" applyBorder="1" applyAlignment="1" applyProtection="1">
      <alignment horizontal="center"/>
      <protection locked="0"/>
    </xf>
    <xf numFmtId="0" fontId="0" fillId="10" borderId="26" xfId="0" applyFill="1" applyBorder="1" applyProtection="1">
      <protection locked="0"/>
    </xf>
    <xf numFmtId="0" fontId="0" fillId="10" borderId="6" xfId="0" applyFill="1" applyBorder="1" applyProtection="1">
      <protection locked="0"/>
    </xf>
    <xf numFmtId="0" fontId="0" fillId="0" borderId="20" xfId="0" applyBorder="1"/>
    <xf numFmtId="0" fontId="0" fillId="0" borderId="6" xfId="0" applyBorder="1"/>
    <xf numFmtId="14" fontId="0" fillId="10" borderId="27" xfId="0" applyNumberFormat="1" applyFill="1" applyBorder="1" applyAlignment="1" applyProtection="1">
      <alignment horizontal="center"/>
      <protection locked="0"/>
    </xf>
    <xf numFmtId="14" fontId="0" fillId="10" borderId="0" xfId="0" applyNumberFormat="1" applyFill="1" applyProtection="1">
      <protection locked="0"/>
    </xf>
    <xf numFmtId="14" fontId="0" fillId="10" borderId="5" xfId="0" applyNumberFormat="1" applyFill="1" applyBorder="1" applyProtection="1">
      <protection locked="0"/>
    </xf>
    <xf numFmtId="0" fontId="3" fillId="0" borderId="14" xfId="0" applyFont="1" applyBorder="1" applyAlignment="1">
      <alignment horizontal="center"/>
    </xf>
    <xf numFmtId="0" fontId="3" fillId="0" borderId="3" xfId="0" applyFont="1" applyBorder="1" applyAlignment="1">
      <alignment horizontal="center"/>
    </xf>
    <xf numFmtId="0" fontId="0" fillId="0" borderId="12" xfId="0" applyBorder="1"/>
    <xf numFmtId="0" fontId="6" fillId="10" borderId="13" xfId="0" applyFont="1" applyFill="1" applyBorder="1" applyAlignment="1" applyProtection="1">
      <alignment horizontal="center"/>
      <protection locked="0"/>
    </xf>
    <xf numFmtId="0" fontId="0" fillId="10" borderId="12" xfId="0" applyFill="1" applyBorder="1" applyProtection="1">
      <protection locked="0"/>
    </xf>
    <xf numFmtId="0" fontId="0" fillId="7" borderId="20" xfId="0" applyFill="1" applyBorder="1" applyAlignment="1" applyProtection="1">
      <alignment horizontal="center"/>
      <protection locked="0"/>
    </xf>
    <xf numFmtId="0" fontId="0" fillId="7" borderId="26" xfId="0" applyFill="1" applyBorder="1" applyProtection="1">
      <protection locked="0"/>
    </xf>
    <xf numFmtId="0" fontId="1" fillId="0" borderId="20" xfId="0" quotePrefix="1" applyFont="1" applyBorder="1" applyAlignment="1">
      <alignment horizontal="center"/>
    </xf>
    <xf numFmtId="0" fontId="0" fillId="8" borderId="20" xfId="0" applyFill="1" applyBorder="1" applyAlignment="1" applyProtection="1">
      <alignment horizontal="center"/>
      <protection locked="0"/>
    </xf>
    <xf numFmtId="0" fontId="0" fillId="8" borderId="26" xfId="0" applyFill="1" applyBorder="1" applyProtection="1">
      <protection locked="0"/>
    </xf>
    <xf numFmtId="0" fontId="0" fillId="0" borderId="14" xfId="0" quotePrefix="1" applyBorder="1" applyAlignment="1">
      <alignment horizontal="center"/>
    </xf>
    <xf numFmtId="3" fontId="0" fillId="7" borderId="3" xfId="0" applyNumberFormat="1" applyFill="1" applyBorder="1" applyAlignment="1" applyProtection="1">
      <alignment horizontal="center"/>
      <protection locked="0"/>
    </xf>
    <xf numFmtId="3" fontId="0" fillId="7" borderId="14" xfId="0" applyNumberFormat="1" applyFill="1" applyBorder="1" applyProtection="1">
      <protection locked="0"/>
    </xf>
    <xf numFmtId="0" fontId="0" fillId="0" borderId="7" xfId="0" applyBorder="1"/>
    <xf numFmtId="0" fontId="0" fillId="8" borderId="3" xfId="0" applyFill="1" applyBorder="1" applyAlignment="1" applyProtection="1">
      <alignment horizontal="center"/>
      <protection locked="0"/>
    </xf>
    <xf numFmtId="0" fontId="0" fillId="8" borderId="14" xfId="0" applyFill="1" applyBorder="1" applyAlignment="1" applyProtection="1">
      <alignment horizontal="center"/>
      <protection locked="0"/>
    </xf>
    <xf numFmtId="0" fontId="1" fillId="0" borderId="12" xfId="0" applyFont="1"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0" fillId="6" borderId="14" xfId="0" applyFill="1" applyBorder="1"/>
    <xf numFmtId="0" fontId="6" fillId="0" borderId="3" xfId="0" applyFont="1" applyBorder="1" applyAlignment="1">
      <alignment horizontal="center"/>
    </xf>
    <xf numFmtId="0" fontId="1" fillId="3" borderId="3" xfId="0" applyFont="1" applyFill="1" applyBorder="1" applyAlignment="1" applyProtection="1">
      <alignment horizontal="center"/>
      <protection locked="0"/>
    </xf>
    <xf numFmtId="0" fontId="0" fillId="3" borderId="14" xfId="0" applyFill="1" applyBorder="1" applyProtection="1">
      <protection locked="0"/>
    </xf>
    <xf numFmtId="2" fontId="0" fillId="0" borderId="36" xfId="0" applyNumberFormat="1" applyBorder="1" applyAlignment="1">
      <alignment horizontal="center"/>
    </xf>
    <xf numFmtId="2" fontId="0" fillId="0" borderId="35" xfId="0" applyNumberFormat="1" applyBorder="1"/>
    <xf numFmtId="2" fontId="0" fillId="9" borderId="36" xfId="0" applyNumberFormat="1" applyFill="1" applyBorder="1" applyAlignment="1" applyProtection="1">
      <alignment horizontal="center"/>
      <protection locked="0"/>
    </xf>
    <xf numFmtId="0" fontId="0" fillId="9" borderId="34" xfId="0" applyFill="1" applyBorder="1" applyProtection="1">
      <protection locked="0"/>
    </xf>
    <xf numFmtId="0" fontId="3" fillId="0" borderId="17" xfId="0" applyFont="1" applyBorder="1" applyAlignment="1">
      <alignment horizontal="center" vertical="top" wrapText="1"/>
    </xf>
    <xf numFmtId="0" fontId="1"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xf numFmtId="0" fontId="3" fillId="0" borderId="8" xfId="0" applyFont="1" applyBorder="1" applyAlignment="1">
      <alignment horizontal="center" vertical="center" wrapText="1"/>
    </xf>
    <xf numFmtId="0" fontId="0" fillId="0" borderId="37" xfId="0" applyBorder="1" applyAlignment="1">
      <alignment horizontal="center" vertical="center" wrapText="1"/>
    </xf>
    <xf numFmtId="0" fontId="1" fillId="0" borderId="8" xfId="0" applyFont="1" applyBorder="1" applyAlignment="1">
      <alignment horizontal="center"/>
    </xf>
    <xf numFmtId="164" fontId="1" fillId="0" borderId="2" xfId="0" applyNumberFormat="1" applyFont="1" applyBorder="1" applyAlignment="1">
      <alignment horizontal="center"/>
    </xf>
    <xf numFmtId="2" fontId="3" fillId="0" borderId="6" xfId="0" applyNumberFormat="1" applyFont="1" applyBorder="1" applyAlignment="1">
      <alignment horizontal="lef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7"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0" fillId="0" borderId="2" xfId="0" applyBorder="1" applyAlignment="1">
      <alignment horizontal="left"/>
    </xf>
    <xf numFmtId="0" fontId="0" fillId="0" borderId="38" xfId="0" quotePrefix="1" applyBorder="1" applyAlignment="1">
      <alignment horizontal="center"/>
    </xf>
    <xf numFmtId="0" fontId="0" fillId="0" borderId="39" xfId="0" applyBorder="1"/>
    <xf numFmtId="164" fontId="1" fillId="0" borderId="40" xfId="0" quotePrefix="1" applyNumberFormat="1" applyFont="1" applyBorder="1" applyAlignment="1">
      <alignment horizontal="center"/>
    </xf>
    <xf numFmtId="0" fontId="0" fillId="0" borderId="41" xfId="0" applyBorder="1" applyAlignment="1">
      <alignment horizontal="center"/>
    </xf>
    <xf numFmtId="164" fontId="1" fillId="0" borderId="41" xfId="0" quotePrefix="1" applyNumberFormat="1" applyFont="1" applyBorder="1" applyAlignment="1">
      <alignment horizont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3" fillId="0" borderId="37" xfId="0" applyFont="1" applyBorder="1" applyAlignment="1">
      <alignment horizontal="center" vertical="center" wrapText="1"/>
    </xf>
    <xf numFmtId="0" fontId="0" fillId="0" borderId="41" xfId="0" applyBorder="1"/>
    <xf numFmtId="0" fontId="1" fillId="0" borderId="2" xfId="0" applyFont="1" applyBorder="1" applyAlignment="1">
      <alignment horizontal="center" vertical="center"/>
    </xf>
    <xf numFmtId="0" fontId="0" fillId="0" borderId="4" xfId="0" applyBorder="1" applyAlignment="1">
      <alignment horizontal="center"/>
    </xf>
    <xf numFmtId="0" fontId="1" fillId="0" borderId="20" xfId="0" quotePrefix="1"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164" fontId="3" fillId="5" borderId="3" xfId="0" applyNumberFormat="1" applyFont="1" applyFill="1" applyBorder="1" applyAlignment="1">
      <alignment horizontal="center"/>
    </xf>
    <xf numFmtId="164" fontId="3" fillId="5" borderId="14" xfId="0" applyNumberFormat="1" applyFont="1" applyFill="1" applyBorder="1" applyAlignment="1">
      <alignment horizontal="center"/>
    </xf>
    <xf numFmtId="0" fontId="1" fillId="0" borderId="3" xfId="0" quotePrefix="1" applyFont="1" applyBorder="1" applyAlignment="1">
      <alignment horizontal="center"/>
    </xf>
    <xf numFmtId="2" fontId="3" fillId="5" borderId="3" xfId="0" applyNumberFormat="1" applyFont="1" applyFill="1" applyBorder="1" applyAlignment="1">
      <alignment horizontal="center"/>
    </xf>
    <xf numFmtId="0" fontId="3" fillId="5" borderId="17" xfId="0" applyFont="1" applyFill="1" applyBorder="1" applyAlignment="1">
      <alignment horizontal="center"/>
    </xf>
    <xf numFmtId="0" fontId="3" fillId="5" borderId="16" xfId="0" applyFont="1" applyFill="1" applyBorder="1" applyAlignment="1">
      <alignment horizontal="center"/>
    </xf>
    <xf numFmtId="164" fontId="3" fillId="5" borderId="15" xfId="0" applyNumberFormat="1" applyFont="1" applyFill="1" applyBorder="1" applyAlignment="1">
      <alignment horizontal="center"/>
    </xf>
    <xf numFmtId="164" fontId="3" fillId="5" borderId="33" xfId="0" applyNumberFormat="1" applyFont="1" applyFill="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0" fontId="3" fillId="0" borderId="2" xfId="0" applyFont="1" applyBorder="1" applyAlignment="1">
      <alignment vertical="center" wrapText="1"/>
    </xf>
    <xf numFmtId="0" fontId="1" fillId="0" borderId="4" xfId="0" quotePrefix="1" applyFont="1" applyBorder="1" applyAlignment="1">
      <alignment horizontal="center"/>
    </xf>
    <xf numFmtId="164" fontId="3" fillId="5" borderId="3" xfId="0" applyNumberFormat="1" applyFont="1" applyFill="1" applyBorder="1" applyAlignment="1">
      <alignment horizontal="center" vertical="center" wrapText="1"/>
    </xf>
    <xf numFmtId="164" fontId="3" fillId="5" borderId="14" xfId="0" applyNumberFormat="1" applyFont="1" applyFill="1" applyBorder="1" applyAlignment="1">
      <alignment horizontal="center" vertical="center" wrapText="1"/>
    </xf>
    <xf numFmtId="164" fontId="3" fillId="5" borderId="15" xfId="0" applyNumberFormat="1" applyFont="1" applyFill="1" applyBorder="1" applyAlignment="1">
      <alignment horizontal="center" vertical="center" wrapText="1"/>
    </xf>
    <xf numFmtId="164" fontId="3" fillId="5" borderId="33"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9" xfId="0" quotePrefix="1" applyFont="1" applyBorder="1" applyAlignment="1">
      <alignment horizontal="center"/>
    </xf>
    <xf numFmtId="0" fontId="1" fillId="0" borderId="40" xfId="0" quotePrefix="1" applyFont="1" applyBorder="1" applyAlignment="1">
      <alignment horizontal="center"/>
    </xf>
    <xf numFmtId="0" fontId="1" fillId="0" borderId="19" xfId="0" applyFont="1" applyBorder="1"/>
    <xf numFmtId="0" fontId="1" fillId="0" borderId="8" xfId="0" applyFont="1" applyBorder="1"/>
    <xf numFmtId="0" fontId="1" fillId="0" borderId="37" xfId="0" applyFont="1" applyBorder="1" applyAlignment="1">
      <alignment vertical="top"/>
    </xf>
    <xf numFmtId="0" fontId="1" fillId="0" borderId="19" xfId="0" applyFont="1" applyBorder="1" applyAlignment="1">
      <alignment vertical="top"/>
    </xf>
    <xf numFmtId="0" fontId="1" fillId="0" borderId="20" xfId="0" applyFont="1" applyBorder="1"/>
    <xf numFmtId="0" fontId="1" fillId="0" borderId="37" xfId="0" applyFont="1" applyBorder="1"/>
    <xf numFmtId="0" fontId="1" fillId="0" borderId="27" xfId="0" applyFont="1" applyBorder="1"/>
    <xf numFmtId="0" fontId="3" fillId="0" borderId="8" xfId="0" applyFont="1" applyBorder="1" applyAlignment="1">
      <alignment horizontal="center"/>
    </xf>
    <xf numFmtId="0" fontId="3" fillId="0" borderId="20" xfId="0" applyFont="1" applyBorder="1" applyAlignment="1">
      <alignment horizontal="center"/>
    </xf>
    <xf numFmtId="164" fontId="0" fillId="0" borderId="8" xfId="0" applyNumberFormat="1" applyBorder="1" applyAlignment="1">
      <alignment horizontal="center"/>
    </xf>
    <xf numFmtId="0" fontId="0" fillId="0" borderId="8" xfId="0" applyBorder="1" applyAlignment="1">
      <alignment horizontal="center"/>
    </xf>
    <xf numFmtId="0" fontId="3" fillId="0" borderId="28"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1" fillId="0" borderId="43" xfId="0" applyFont="1" applyBorder="1"/>
    <xf numFmtId="0" fontId="1" fillId="0" borderId="42" xfId="0" applyFont="1" applyBorder="1"/>
    <xf numFmtId="0" fontId="1" fillId="0" borderId="6" xfId="0" applyFont="1" applyBorder="1"/>
    <xf numFmtId="0" fontId="0" fillId="0" borderId="20" xfId="0" applyBorder="1" applyAlignment="1">
      <alignment horizontal="center"/>
    </xf>
    <xf numFmtId="164" fontId="0" fillId="0" borderId="42" xfId="0" applyNumberFormat="1"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1" fillId="0" borderId="13" xfId="0" applyFont="1" applyBorder="1"/>
    <xf numFmtId="0" fontId="3" fillId="0" borderId="6"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vertical="center"/>
    </xf>
    <xf numFmtId="0" fontId="3" fillId="0" borderId="7"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horizontal="center" wrapText="1"/>
    </xf>
    <xf numFmtId="0" fontId="3" fillId="0" borderId="45" xfId="0" applyFont="1" applyBorder="1" applyAlignment="1">
      <alignment horizontal="center" wrapText="1"/>
    </xf>
    <xf numFmtId="0" fontId="3" fillId="0" borderId="1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6" xfId="0" applyFont="1" applyBorder="1" applyAlignment="1">
      <alignment horizontal="center"/>
    </xf>
    <xf numFmtId="0" fontId="3" fillId="0" borderId="41" xfId="0" applyFont="1" applyBorder="1" applyAlignment="1">
      <alignment horizontal="center"/>
    </xf>
    <xf numFmtId="0" fontId="3" fillId="0" borderId="38" xfId="0" applyFont="1" applyBorder="1" applyAlignment="1">
      <alignment horizontal="center"/>
    </xf>
    <xf numFmtId="0" fontId="3" fillId="0" borderId="45" xfId="0" applyFont="1" applyBorder="1" applyAlignment="1">
      <alignment horizontal="center"/>
    </xf>
    <xf numFmtId="0" fontId="3" fillId="0" borderId="32" xfId="0" applyFont="1" applyBorder="1" applyAlignment="1">
      <alignment horizontal="center"/>
    </xf>
    <xf numFmtId="0" fontId="3" fillId="0" borderId="29"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0" fillId="0" borderId="63" xfId="0" applyBorder="1"/>
    <xf numFmtId="0" fontId="0" fillId="0" borderId="49" xfId="0" applyBorder="1"/>
    <xf numFmtId="0" fontId="0" fillId="0" borderId="60" xfId="0" applyBorder="1"/>
    <xf numFmtId="0" fontId="0" fillId="0" borderId="64" xfId="0" applyBorder="1"/>
    <xf numFmtId="0" fontId="0" fillId="0" borderId="65" xfId="0" applyBorder="1"/>
    <xf numFmtId="0" fontId="0" fillId="0" borderId="66" xfId="0" applyBorder="1"/>
    <xf numFmtId="0" fontId="0" fillId="0" borderId="38" xfId="0" applyBorder="1"/>
    <xf numFmtId="165" fontId="3" fillId="0" borderId="9" xfId="0" applyNumberFormat="1" applyFont="1" applyBorder="1" applyAlignment="1">
      <alignment horizontal="center"/>
    </xf>
    <xf numFmtId="165" fontId="3" fillId="0" borderId="46" xfId="0" applyNumberFormat="1" applyFont="1" applyBorder="1" applyAlignment="1">
      <alignment horizontal="center"/>
    </xf>
    <xf numFmtId="2" fontId="3" fillId="0" borderId="18" xfId="0" applyNumberFormat="1" applyFont="1" applyBorder="1" applyAlignment="1">
      <alignment horizontal="center" wrapText="1"/>
    </xf>
    <xf numFmtId="2" fontId="3" fillId="0" borderId="45" xfId="0" applyNumberFormat="1" applyFont="1" applyBorder="1" applyAlignment="1">
      <alignment horizontal="center" wrapText="1"/>
    </xf>
    <xf numFmtId="0" fontId="3" fillId="0" borderId="14" xfId="0" applyFont="1" applyBorder="1"/>
    <xf numFmtId="0" fontId="1" fillId="0" borderId="14" xfId="0" applyFont="1" applyBorder="1" applyAlignment="1">
      <alignment wrapText="1"/>
    </xf>
    <xf numFmtId="0" fontId="2" fillId="0" borderId="0" xfId="0" applyFont="1" applyAlignment="1">
      <alignment wrapText="1"/>
    </xf>
    <xf numFmtId="0" fontId="1" fillId="0" borderId="45" xfId="0" applyFont="1" applyBorder="1" applyAlignment="1">
      <alignment wrapText="1"/>
    </xf>
    <xf numFmtId="164" fontId="0" fillId="9" borderId="15" xfId="0" applyNumberFormat="1" applyFill="1" applyBorder="1" applyAlignment="1" applyProtection="1">
      <alignment horizontal="center"/>
      <protection locked="0"/>
    </xf>
    <xf numFmtId="164" fontId="0" fillId="9" borderId="16" xfId="0" applyNumberFormat="1" applyFill="1" applyBorder="1" applyAlignment="1" applyProtection="1">
      <alignment horizontal="center"/>
      <protection locked="0"/>
    </xf>
    <xf numFmtId="164" fontId="1" fillId="0" borderId="16" xfId="0" applyNumberFormat="1" applyFont="1" applyBorder="1" applyAlignment="1">
      <alignment horizontal="center"/>
    </xf>
    <xf numFmtId="164" fontId="1" fillId="0" borderId="4" xfId="0" applyNumberFormat="1" applyFont="1" applyBorder="1" applyAlignment="1">
      <alignment horizontal="center"/>
    </xf>
    <xf numFmtId="0" fontId="1" fillId="0" borderId="17" xfId="0" applyFont="1" applyBorder="1" applyAlignment="1">
      <alignment horizontal="center"/>
    </xf>
    <xf numFmtId="164" fontId="0" fillId="9" borderId="3" xfId="0" applyNumberFormat="1" applyFill="1" applyBorder="1" applyAlignment="1" applyProtection="1">
      <alignment horizontal="center"/>
      <protection locked="0"/>
    </xf>
    <xf numFmtId="164" fontId="0" fillId="9" borderId="17" xfId="0" applyNumberFormat="1" applyFill="1" applyBorder="1" applyAlignment="1" applyProtection="1">
      <alignment horizontal="center"/>
      <protection locked="0"/>
    </xf>
    <xf numFmtId="164" fontId="0" fillId="9" borderId="14" xfId="0" applyNumberFormat="1" applyFill="1" applyBorder="1" applyAlignment="1" applyProtection="1">
      <alignment horizontal="center"/>
      <protection locked="0"/>
    </xf>
    <xf numFmtId="164" fontId="0" fillId="9" borderId="33" xfId="0" applyNumberFormat="1" applyFill="1" applyBorder="1" applyAlignment="1" applyProtection="1">
      <alignment horizontal="center"/>
      <protection locked="0"/>
    </xf>
    <xf numFmtId="0" fontId="3" fillId="0" borderId="12" xfId="0" applyFont="1" applyBorder="1" applyAlignment="1">
      <alignment horizontal="center" vertical="top" wrapText="1"/>
    </xf>
    <xf numFmtId="165" fontId="3" fillId="0" borderId="3" xfId="0" applyNumberFormat="1" applyFont="1" applyBorder="1" applyAlignment="1">
      <alignment horizontal="center"/>
    </xf>
    <xf numFmtId="165" fontId="3" fillId="0" borderId="14" xfId="0" applyNumberFormat="1" applyFont="1" applyBorder="1" applyAlignment="1">
      <alignment horizontal="center"/>
    </xf>
    <xf numFmtId="164" fontId="2" fillId="0" borderId="41" xfId="0" applyNumberFormat="1" applyFont="1" applyBorder="1" applyAlignment="1">
      <alignment horizontal="left" vertical="top" wrapText="1"/>
    </xf>
    <xf numFmtId="0" fontId="0" fillId="0" borderId="41" xfId="0" applyBorder="1" applyAlignment="1">
      <alignment vertical="top" wrapText="1"/>
    </xf>
    <xf numFmtId="0" fontId="0" fillId="0" borderId="0" xfId="0" applyAlignment="1">
      <alignment vertical="top" wrapText="1"/>
    </xf>
    <xf numFmtId="164" fontId="1" fillId="0" borderId="17" xfId="0" applyNumberFormat="1" applyFont="1" applyBorder="1" applyAlignment="1">
      <alignment horizontal="center"/>
    </xf>
    <xf numFmtId="0" fontId="1" fillId="0" borderId="45" xfId="0" applyFont="1" applyBorder="1" applyAlignment="1">
      <alignment horizontal="left" wrapText="1"/>
    </xf>
    <xf numFmtId="0" fontId="3" fillId="0" borderId="31" xfId="0" applyFont="1" applyBorder="1" applyAlignment="1">
      <alignment horizontal="center" wrapText="1"/>
    </xf>
    <xf numFmtId="0" fontId="1" fillId="0" borderId="14" xfId="0" applyFont="1" applyBorder="1" applyAlignment="1">
      <alignment horizontal="center"/>
    </xf>
    <xf numFmtId="0" fontId="1" fillId="0" borderId="56" xfId="0" applyFont="1" applyBorder="1" applyAlignment="1">
      <alignment horizont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53" xfId="0" applyFont="1" applyBorder="1" applyAlignment="1">
      <alignment horizont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wrapText="1"/>
    </xf>
    <xf numFmtId="0" fontId="3" fillId="0" borderId="46" xfId="0" applyFont="1" applyBorder="1" applyAlignment="1">
      <alignment horizontal="center" wrapText="1"/>
    </xf>
    <xf numFmtId="0" fontId="3" fillId="0" borderId="38"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2" fontId="3" fillId="0" borderId="20" xfId="0" applyNumberFormat="1" applyFont="1" applyBorder="1" applyAlignment="1">
      <alignment horizontal="center" vertical="top" wrapText="1"/>
    </xf>
    <xf numFmtId="2" fontId="3" fillId="0" borderId="27" xfId="0" applyNumberFormat="1" applyFont="1" applyBorder="1" applyAlignment="1">
      <alignment horizontal="center" vertical="top" wrapText="1"/>
    </xf>
    <xf numFmtId="2" fontId="3" fillId="0" borderId="13" xfId="0" applyNumberFormat="1" applyFont="1" applyBorder="1" applyAlignment="1">
      <alignment horizontal="center" vertical="top" wrapText="1"/>
    </xf>
    <xf numFmtId="0" fontId="3" fillId="0" borderId="8" xfId="0" applyFont="1" applyBorder="1" applyAlignment="1">
      <alignment horizontal="center" vertical="top" wrapText="1"/>
    </xf>
    <xf numFmtId="0" fontId="3" fillId="0" borderId="37" xfId="0" applyFont="1" applyBorder="1" applyAlignment="1">
      <alignment horizontal="center" vertical="top" wrapText="1"/>
    </xf>
    <xf numFmtId="0" fontId="3" fillId="0" borderId="19" xfId="0" applyFont="1" applyBorder="1" applyAlignment="1">
      <alignment horizontal="center" vertical="top" wrapText="1"/>
    </xf>
    <xf numFmtId="2" fontId="3" fillId="0" borderId="8" xfId="0" applyNumberFormat="1" applyFont="1" applyBorder="1" applyAlignment="1">
      <alignment horizontal="center" vertical="top" wrapText="1"/>
    </xf>
    <xf numFmtId="2" fontId="3" fillId="0" borderId="37" xfId="0" applyNumberFormat="1" applyFont="1" applyBorder="1" applyAlignment="1">
      <alignment horizontal="center" vertical="top" wrapText="1"/>
    </xf>
    <xf numFmtId="2" fontId="3" fillId="0" borderId="19" xfId="0" applyNumberFormat="1" applyFont="1" applyBorder="1" applyAlignment="1">
      <alignment horizontal="center" vertical="top" wrapText="1"/>
    </xf>
    <xf numFmtId="0" fontId="3" fillId="0" borderId="14" xfId="0" applyFont="1" applyBorder="1" applyAlignment="1">
      <alignment horizontal="center" wrapText="1"/>
    </xf>
    <xf numFmtId="0" fontId="3" fillId="0" borderId="17" xfId="0" applyFont="1" applyBorder="1" applyAlignment="1">
      <alignment horizontal="center" wrapText="1"/>
    </xf>
    <xf numFmtId="0" fontId="3" fillId="0" borderId="57" xfId="0" applyFont="1" applyBorder="1" applyAlignment="1">
      <alignment horizontal="center"/>
    </xf>
    <xf numFmtId="0" fontId="3" fillId="0" borderId="26"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44" xfId="0" applyFont="1" applyBorder="1" applyAlignment="1">
      <alignment horizontal="center" wrapText="1"/>
    </xf>
    <xf numFmtId="0" fontId="3" fillId="0" borderId="25" xfId="0" applyFont="1" applyBorder="1" applyAlignment="1">
      <alignment horizontal="center" wrapText="1"/>
    </xf>
    <xf numFmtId="164" fontId="0" fillId="9" borderId="2" xfId="0" applyNumberFormat="1" applyFill="1" applyBorder="1" applyAlignment="1" applyProtection="1">
      <alignment horizontal="center" vertical="top"/>
      <protection locked="0"/>
    </xf>
    <xf numFmtId="164" fontId="0" fillId="9" borderId="3" xfId="0" applyNumberFormat="1" applyFill="1" applyBorder="1" applyAlignment="1" applyProtection="1">
      <alignment horizontal="center" vertical="top"/>
      <protection locked="0"/>
    </xf>
    <xf numFmtId="0" fontId="0" fillId="0" borderId="2" xfId="0" applyBorder="1" applyAlignment="1">
      <alignment horizontal="center" vertical="top"/>
    </xf>
    <xf numFmtId="0" fontId="0" fillId="0" borderId="14" xfId="0" applyBorder="1" applyAlignment="1">
      <alignment vertical="top"/>
    </xf>
    <xf numFmtId="49" fontId="1" fillId="0" borderId="16" xfId="0" applyNumberFormat="1" applyFont="1" applyBorder="1" applyAlignment="1">
      <alignment horizontal="center"/>
    </xf>
    <xf numFmtId="0" fontId="0" fillId="0" borderId="9" xfId="0" applyBorder="1" applyAlignment="1">
      <alignment horizontal="center"/>
    </xf>
    <xf numFmtId="164" fontId="0" fillId="9" borderId="2" xfId="0" applyNumberFormat="1" applyFill="1" applyBorder="1" applyAlignment="1" applyProtection="1">
      <alignment horizontal="center"/>
      <protection locked="0"/>
    </xf>
    <xf numFmtId="164" fontId="6" fillId="0" borderId="2" xfId="0" applyNumberFormat="1" applyFont="1" applyBorder="1" applyAlignment="1">
      <alignment horizontal="center"/>
    </xf>
    <xf numFmtId="0" fontId="0" fillId="0" borderId="18" xfId="0" applyBorder="1" applyAlignment="1">
      <alignment horizontal="center" wrapText="1"/>
    </xf>
    <xf numFmtId="0" fontId="0" fillId="0" borderId="45" xfId="0" applyBorder="1" applyAlignment="1">
      <alignment horizontal="center" wrapText="1"/>
    </xf>
    <xf numFmtId="0" fontId="1" fillId="0" borderId="14" xfId="0" applyFont="1" applyBorder="1" applyAlignment="1">
      <alignment horizontal="left"/>
    </xf>
    <xf numFmtId="0" fontId="1" fillId="0" borderId="7" xfId="0" applyFont="1" applyBorder="1" applyAlignment="1">
      <alignment wrapText="1"/>
    </xf>
    <xf numFmtId="0" fontId="0" fillId="0" borderId="6" xfId="0" applyBorder="1" applyAlignment="1">
      <alignment wrapText="1"/>
    </xf>
    <xf numFmtId="0" fontId="0" fillId="8" borderId="19"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1" fontId="0" fillId="0" borderId="17" xfId="0" applyNumberFormat="1" applyBorder="1" applyAlignment="1">
      <alignment horizontal="center"/>
    </xf>
    <xf numFmtId="1" fontId="0" fillId="0" borderId="16" xfId="0" applyNumberFormat="1" applyBorder="1" applyAlignment="1">
      <alignment horizontal="center"/>
    </xf>
    <xf numFmtId="0" fontId="0" fillId="0" borderId="3" xfId="0" applyBorder="1" applyAlignment="1">
      <alignment horizontal="center" wrapText="1"/>
    </xf>
    <xf numFmtId="0" fontId="0" fillId="0" borderId="3" xfId="0" applyBorder="1" applyAlignment="1">
      <alignment wrapText="1"/>
    </xf>
    <xf numFmtId="164" fontId="1" fillId="9" borderId="3" xfId="0" applyNumberFormat="1" applyFont="1" applyFill="1" applyBorder="1" applyAlignment="1" applyProtection="1">
      <alignment horizontal="center"/>
      <protection locked="0"/>
    </xf>
    <xf numFmtId="0" fontId="3" fillId="0" borderId="7" xfId="0" applyFont="1" applyBorder="1" applyAlignment="1">
      <alignment horizontal="left" vertical="top"/>
    </xf>
    <xf numFmtId="0" fontId="3" fillId="0" borderId="19" xfId="0" applyFont="1" applyBorder="1" applyAlignment="1">
      <alignment horizontal="left" vertical="top"/>
    </xf>
    <xf numFmtId="0" fontId="0" fillId="0" borderId="17" xfId="0" applyBorder="1" applyAlignment="1">
      <alignment vertical="top"/>
    </xf>
    <xf numFmtId="0" fontId="0" fillId="0" borderId="2" xfId="0" applyBorder="1" applyAlignment="1">
      <alignment vertical="top"/>
    </xf>
    <xf numFmtId="0" fontId="0" fillId="0" borderId="5" xfId="0"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27" xfId="0" applyBorder="1" applyAlignment="1">
      <alignment horizontal="center"/>
    </xf>
    <xf numFmtId="164" fontId="6" fillId="0" borderId="4" xfId="0" applyNumberFormat="1" applyFont="1" applyBorder="1" applyAlignment="1">
      <alignment horizontal="center"/>
    </xf>
    <xf numFmtId="164" fontId="6" fillId="9" borderId="4" xfId="0" applyNumberFormat="1" applyFont="1" applyFill="1" applyBorder="1" applyAlignment="1" applyProtection="1">
      <alignment horizontal="center"/>
      <protection locked="0"/>
    </xf>
    <xf numFmtId="2" fontId="1" fillId="0" borderId="14" xfId="0" applyNumberFormat="1" applyFont="1" applyBorder="1" applyAlignment="1">
      <alignment horizontal="left"/>
    </xf>
    <xf numFmtId="0" fontId="3" fillId="0" borderId="18" xfId="0" applyFont="1" applyBorder="1" applyAlignment="1">
      <alignment horizontal="center"/>
    </xf>
    <xf numFmtId="0" fontId="0" fillId="0" borderId="18" xfId="0" applyBorder="1" applyAlignment="1">
      <alignment horizontal="center"/>
    </xf>
    <xf numFmtId="0" fontId="0" fillId="0" borderId="45" xfId="0" applyBorder="1" applyAlignment="1">
      <alignment horizontal="center"/>
    </xf>
    <xf numFmtId="0" fontId="0" fillId="0" borderId="28" xfId="0" applyBorder="1" applyAlignment="1">
      <alignment horizontal="center"/>
    </xf>
    <xf numFmtId="0" fontId="0" fillId="0" borderId="18" xfId="0" applyBorder="1" applyAlignment="1">
      <alignment wrapText="1"/>
    </xf>
    <xf numFmtId="0" fontId="0" fillId="0" borderId="18" xfId="0" applyBorder="1"/>
    <xf numFmtId="0" fontId="0" fillId="0" borderId="45" xfId="0" applyBorder="1" applyAlignment="1">
      <alignment wrapText="1"/>
    </xf>
    <xf numFmtId="0" fontId="0" fillId="0" borderId="45" xfId="0" applyBorder="1"/>
    <xf numFmtId="0" fontId="0" fillId="0" borderId="30" xfId="0" applyBorder="1" applyAlignment="1">
      <alignment horizontal="center"/>
    </xf>
    <xf numFmtId="0" fontId="0" fillId="0" borderId="31" xfId="0" applyBorder="1" applyAlignment="1">
      <alignment horizontal="center"/>
    </xf>
    <xf numFmtId="0" fontId="1" fillId="0" borderId="26" xfId="0" applyFont="1"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xf>
    <xf numFmtId="0" fontId="1" fillId="0" borderId="17" xfId="0" applyFont="1" applyBorder="1" applyAlignment="1">
      <alignment horizontal="left" vertical="top" wrapText="1"/>
    </xf>
    <xf numFmtId="0" fontId="1" fillId="0" borderId="2" xfId="0" applyFont="1" applyBorder="1" applyAlignment="1">
      <alignment horizontal="left" vertical="top" wrapText="1"/>
    </xf>
    <xf numFmtId="0" fontId="3" fillId="0" borderId="39" xfId="0" applyFont="1" applyBorder="1" applyAlignment="1">
      <alignment horizontal="center"/>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1" fillId="0" borderId="32" xfId="0" applyFont="1" applyBorder="1" applyAlignment="1">
      <alignment horizontal="center"/>
    </xf>
    <xf numFmtId="0" fontId="1" fillId="0" borderId="41" xfId="0" applyFont="1" applyBorder="1" applyAlignment="1">
      <alignment wrapText="1"/>
    </xf>
    <xf numFmtId="0" fontId="0" fillId="0" borderId="41" xfId="0" applyBorder="1" applyAlignment="1">
      <alignment wrapText="1"/>
    </xf>
    <xf numFmtId="0" fontId="0" fillId="0" borderId="0" xfId="0" applyAlignment="1">
      <alignment horizontal="center" wrapText="1"/>
    </xf>
    <xf numFmtId="1" fontId="0" fillId="0" borderId="28" xfId="0" applyNumberFormat="1" applyBorder="1" applyAlignment="1">
      <alignment horizontal="center"/>
    </xf>
    <xf numFmtId="0" fontId="0" fillId="0" borderId="38" xfId="0" applyBorder="1" applyAlignment="1">
      <alignment horizontal="center"/>
    </xf>
    <xf numFmtId="0" fontId="3" fillId="0" borderId="17" xfId="0" applyFont="1" applyBorder="1"/>
    <xf numFmtId="0" fontId="3" fillId="0" borderId="30" xfId="0" applyFont="1" applyBorder="1" applyAlignment="1">
      <alignment horizontal="center"/>
    </xf>
    <xf numFmtId="0" fontId="3" fillId="0" borderId="31" xfId="0" applyFont="1" applyBorder="1" applyAlignment="1">
      <alignment horizontal="center"/>
    </xf>
    <xf numFmtId="49" fontId="0" fillId="0" borderId="17" xfId="0" applyNumberFormat="1" applyBorder="1"/>
    <xf numFmtId="0" fontId="3" fillId="0" borderId="28" xfId="0" applyFont="1" applyBorder="1" applyAlignment="1">
      <alignment horizontal="left" vertical="top"/>
    </xf>
    <xf numFmtId="0" fontId="3" fillId="0" borderId="1" xfId="0" applyFont="1" applyBorder="1" applyAlignment="1">
      <alignment horizontal="left" vertical="top"/>
    </xf>
    <xf numFmtId="165" fontId="3" fillId="0" borderId="2" xfId="0" applyNumberFormat="1" applyFont="1" applyBorder="1" applyAlignment="1">
      <alignment horizontal="center" wrapText="1"/>
    </xf>
    <xf numFmtId="165" fontId="3" fillId="0" borderId="2" xfId="0" applyNumberFormat="1" applyFont="1" applyBorder="1" applyAlignment="1">
      <alignment horizontal="center"/>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164" fontId="0" fillId="9" borderId="4" xfId="0" applyNumberFormat="1" applyFill="1" applyBorder="1" applyAlignment="1" applyProtection="1">
      <alignment horizontal="center"/>
      <protection locked="0"/>
    </xf>
    <xf numFmtId="2" fontId="1" fillId="0" borderId="33" xfId="0" applyNumberFormat="1" applyFont="1" applyBorder="1" applyAlignment="1">
      <alignment horizontal="left"/>
    </xf>
    <xf numFmtId="0" fontId="0" fillId="0" borderId="17" xfId="0" applyBorder="1" applyAlignment="1">
      <alignment wrapText="1"/>
    </xf>
    <xf numFmtId="0" fontId="0" fillId="8" borderId="2" xfId="0" applyFill="1" applyBorder="1" applyAlignment="1" applyProtection="1">
      <alignment horizontal="center" vertical="center"/>
      <protection locked="0"/>
    </xf>
    <xf numFmtId="0" fontId="3" fillId="0" borderId="19" xfId="0" applyFont="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2" fontId="3" fillId="5" borderId="4" xfId="0" applyNumberFormat="1" applyFont="1" applyFill="1" applyBorder="1" applyAlignment="1">
      <alignment horizontal="center"/>
    </xf>
    <xf numFmtId="0" fontId="3"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13" xfId="0" applyFont="1" applyBorder="1" applyAlignment="1">
      <alignment vertical="top"/>
    </xf>
    <xf numFmtId="0" fontId="1" fillId="0" borderId="12" xfId="0" applyFont="1" applyBorder="1" applyAlignment="1">
      <alignment vertical="top"/>
    </xf>
    <xf numFmtId="0" fontId="1" fillId="0" borderId="7" xfId="0" applyFont="1" applyBorder="1" applyAlignment="1">
      <alignment vertical="top"/>
    </xf>
    <xf numFmtId="0" fontId="3" fillId="0" borderId="26" xfId="0" applyFont="1" applyBorder="1" applyAlignment="1">
      <alignment vertical="center" wrapText="1"/>
    </xf>
    <xf numFmtId="0" fontId="0" fillId="0" borderId="26"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165" fontId="3" fillId="5" borderId="15" xfId="0" applyNumberFormat="1" applyFont="1" applyFill="1" applyBorder="1" applyAlignment="1">
      <alignment horizontal="center"/>
    </xf>
    <xf numFmtId="165" fontId="3" fillId="5" borderId="3" xfId="0" applyNumberFormat="1" applyFont="1" applyFill="1" applyBorder="1" applyAlignment="1">
      <alignment horizontal="center"/>
    </xf>
    <xf numFmtId="166" fontId="0" fillId="0" borderId="3" xfId="0" applyNumberFormat="1" applyBorder="1" applyAlignment="1">
      <alignment horizontal="center"/>
    </xf>
    <xf numFmtId="166" fontId="0" fillId="0" borderId="17" xfId="0" applyNumberFormat="1" applyBorder="1" applyAlignment="1">
      <alignment horizontal="center"/>
    </xf>
    <xf numFmtId="0" fontId="1" fillId="0" borderId="33" xfId="0" applyFont="1" applyBorder="1" applyAlignment="1">
      <alignment vertical="center"/>
    </xf>
    <xf numFmtId="0" fontId="0" fillId="0" borderId="33" xfId="0" applyBorder="1" applyAlignment="1">
      <alignment vertical="center"/>
    </xf>
    <xf numFmtId="0" fontId="3" fillId="0" borderId="26" xfId="0" applyFont="1" applyBorder="1" applyAlignment="1">
      <alignment horizontal="left" vertical="center"/>
    </xf>
    <xf numFmtId="0" fontId="0" fillId="0" borderId="26" xfId="0" applyBorder="1" applyAlignment="1">
      <alignment horizontal="left" vertical="center"/>
    </xf>
    <xf numFmtId="164" fontId="1" fillId="0" borderId="15" xfId="0" quotePrefix="1" applyNumberFormat="1" applyFont="1" applyBorder="1" applyAlignment="1">
      <alignment horizontal="center"/>
    </xf>
    <xf numFmtId="2" fontId="3" fillId="5" borderId="17" xfId="0" applyNumberFormat="1" applyFont="1" applyFill="1" applyBorder="1" applyAlignment="1">
      <alignment horizontal="center"/>
    </xf>
    <xf numFmtId="0" fontId="3" fillId="5" borderId="15" xfId="0" quotePrefix="1" applyFont="1" applyFill="1" applyBorder="1" applyAlignment="1">
      <alignment horizontal="center"/>
    </xf>
    <xf numFmtId="0" fontId="3" fillId="0" borderId="1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9" xfId="0" applyFont="1" applyBorder="1" applyAlignment="1">
      <alignment horizontal="center" vertical="center" wrapText="1"/>
    </xf>
    <xf numFmtId="164" fontId="0" fillId="0" borderId="37" xfId="0" applyNumberFormat="1" applyBorder="1" applyAlignment="1">
      <alignment horizontal="center" vertical="center"/>
    </xf>
    <xf numFmtId="2" fontId="0" fillId="0" borderId="37" xfId="0" applyNumberFormat="1" applyBorder="1" applyAlignment="1">
      <alignment horizontal="center" vertical="center"/>
    </xf>
    <xf numFmtId="2" fontId="0" fillId="0" borderId="20" xfId="0" applyNumberFormat="1" applyBorder="1" applyAlignment="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top" wrapText="1"/>
    </xf>
    <xf numFmtId="0" fontId="0" fillId="0" borderId="12" xfId="0" applyBorder="1" applyAlignment="1">
      <alignment wrapText="1"/>
    </xf>
    <xf numFmtId="0" fontId="3" fillId="0" borderId="8" xfId="0" applyFont="1" applyBorder="1" applyAlignment="1">
      <alignment horizontal="center" wrapText="1"/>
    </xf>
    <xf numFmtId="0" fontId="1" fillId="0" borderId="20" xfId="0" applyFont="1" applyBorder="1" applyAlignment="1">
      <alignment horizontal="center"/>
    </xf>
    <xf numFmtId="0" fontId="1" fillId="0" borderId="26" xfId="0" applyFont="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41" xfId="0" quotePrefix="1" applyFont="1" applyBorder="1" applyAlignment="1">
      <alignment horizontal="center"/>
    </xf>
    <xf numFmtId="0" fontId="0" fillId="0" borderId="40" xfId="0" quotePrefix="1" applyBorder="1" applyAlignment="1">
      <alignment horizontal="center"/>
    </xf>
    <xf numFmtId="2" fontId="3" fillId="0" borderId="26"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2" fontId="3" fillId="0" borderId="12" xfId="0" applyNumberFormat="1" applyFont="1" applyBorder="1" applyAlignment="1">
      <alignment horizontal="center" vertical="top" wrapText="1"/>
    </xf>
    <xf numFmtId="2" fontId="3" fillId="0" borderId="7" xfId="0" applyNumberFormat="1" applyFont="1" applyBorder="1" applyAlignment="1">
      <alignment horizontal="center" vertical="top" wrapText="1"/>
    </xf>
    <xf numFmtId="0" fontId="3" fillId="0" borderId="19" xfId="0" applyFont="1" applyBorder="1" applyAlignment="1">
      <alignment horizontal="center" wrapText="1"/>
    </xf>
    <xf numFmtId="2" fontId="0" fillId="0" borderId="16" xfId="0" applyNumberFormat="1" applyBorder="1"/>
    <xf numFmtId="0" fontId="3" fillId="5" borderId="33" xfId="0" applyFont="1" applyFill="1" applyBorder="1"/>
    <xf numFmtId="0" fontId="1" fillId="0" borderId="34" xfId="0" applyFont="1" applyBorder="1" applyAlignment="1">
      <alignment horizontal="left" indent="3"/>
    </xf>
    <xf numFmtId="0" fontId="0" fillId="0" borderId="34" xfId="0" applyBorder="1" applyAlignment="1">
      <alignment horizontal="left" indent="3"/>
    </xf>
    <xf numFmtId="0" fontId="0" fillId="0" borderId="35" xfId="0" applyBorder="1" applyAlignment="1">
      <alignment horizontal="left" indent="3"/>
    </xf>
    <xf numFmtId="1" fontId="0" fillId="0" borderId="36" xfId="0" applyNumberFormat="1" applyBorder="1" applyAlignment="1">
      <alignment horizontal="center"/>
    </xf>
    <xf numFmtId="1" fontId="0" fillId="0" borderId="35" xfId="0" applyNumberFormat="1" applyBorder="1"/>
    <xf numFmtId="1" fontId="0" fillId="7" borderId="36" xfId="0" applyNumberFormat="1" applyFill="1" applyBorder="1" applyAlignment="1" applyProtection="1">
      <alignment horizontal="center"/>
      <protection locked="0"/>
    </xf>
    <xf numFmtId="1" fontId="0" fillId="7" borderId="34" xfId="0" applyNumberFormat="1" applyFill="1" applyBorder="1" applyProtection="1">
      <protection locked="0"/>
    </xf>
    <xf numFmtId="0" fontId="1" fillId="0" borderId="14" xfId="0" applyFont="1" applyBorder="1" applyAlignment="1">
      <alignment horizontal="left" indent="3"/>
    </xf>
    <xf numFmtId="0" fontId="0" fillId="0" borderId="14" xfId="0" applyBorder="1" applyAlignment="1">
      <alignment horizontal="left" indent="3"/>
    </xf>
    <xf numFmtId="0" fontId="0" fillId="0" borderId="17" xfId="0" applyBorder="1" applyAlignment="1">
      <alignment horizontal="left" indent="3"/>
    </xf>
    <xf numFmtId="0" fontId="0" fillId="8" borderId="14" xfId="0" applyFill="1" applyBorder="1" applyProtection="1">
      <protection locked="0"/>
    </xf>
    <xf numFmtId="0" fontId="1" fillId="0" borderId="17" xfId="0" applyFont="1" applyBorder="1" applyAlignment="1">
      <alignment horizontal="left" indent="3"/>
    </xf>
    <xf numFmtId="0" fontId="1" fillId="8" borderId="20" xfId="0" applyFont="1" applyFill="1" applyBorder="1" applyAlignment="1" applyProtection="1">
      <alignment horizontal="center"/>
      <protection locked="0"/>
    </xf>
    <xf numFmtId="3" fontId="0" fillId="7" borderId="20" xfId="0" applyNumberFormat="1" applyFill="1" applyBorder="1" applyAlignment="1" applyProtection="1">
      <alignment horizontal="center"/>
      <protection locked="0"/>
    </xf>
    <xf numFmtId="3" fontId="0" fillId="7" borderId="26" xfId="0" applyNumberFormat="1" applyFill="1" applyBorder="1" applyProtection="1">
      <protection locked="0"/>
    </xf>
    <xf numFmtId="0" fontId="24" fillId="6" borderId="69" xfId="2" applyFill="1" applyBorder="1" applyAlignment="1">
      <alignment horizontal="center" vertical="center"/>
    </xf>
    <xf numFmtId="0" fontId="24" fillId="6" borderId="70" xfId="2" applyFill="1" applyBorder="1" applyAlignment="1">
      <alignment horizontal="center" vertical="center"/>
    </xf>
    <xf numFmtId="0" fontId="1" fillId="0" borderId="7" xfId="0" applyFont="1" applyBorder="1" applyAlignment="1">
      <alignment horizontal="left"/>
    </xf>
    <xf numFmtId="2" fontId="0" fillId="0" borderId="3" xfId="0" quotePrefix="1" applyNumberFormat="1" applyBorder="1" applyAlignment="1">
      <alignment horizontal="center"/>
    </xf>
    <xf numFmtId="2" fontId="0" fillId="0" borderId="17" xfId="0" applyNumberFormat="1" applyBorder="1"/>
    <xf numFmtId="2" fontId="0" fillId="9" borderId="3" xfId="0" applyNumberFormat="1" applyFill="1" applyBorder="1" applyAlignment="1" applyProtection="1">
      <alignment horizontal="center"/>
      <protection locked="0"/>
    </xf>
    <xf numFmtId="2" fontId="0" fillId="9" borderId="14" xfId="0" applyNumberFormat="1" applyFill="1" applyBorder="1" applyProtection="1">
      <protection locked="0"/>
    </xf>
    <xf numFmtId="3" fontId="0" fillId="7" borderId="14" xfId="0" applyNumberFormat="1" applyFill="1" applyBorder="1" applyAlignment="1" applyProtection="1">
      <alignment horizontal="center"/>
      <protection locked="0"/>
    </xf>
    <xf numFmtId="0" fontId="3" fillId="0" borderId="6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7" xfId="0" applyFont="1" applyBorder="1" applyAlignment="1">
      <alignment horizontal="center" vertical="top" wrapText="1"/>
    </xf>
    <xf numFmtId="0" fontId="3" fillId="0" borderId="38" xfId="0" applyFont="1" applyBorder="1" applyAlignment="1">
      <alignment horizontal="center" vertical="center" wrapText="1"/>
    </xf>
    <xf numFmtId="0" fontId="0" fillId="0" borderId="25" xfId="0" applyBorder="1" applyAlignment="1">
      <alignment horizont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xf numFmtId="0" fontId="1" fillId="0" borderId="28" xfId="0" applyFont="1" applyBorder="1" applyAlignment="1">
      <alignment wrapText="1"/>
    </xf>
    <xf numFmtId="0" fontId="0" fillId="8" borderId="1" xfId="0" applyFill="1" applyBorder="1" applyAlignment="1" applyProtection="1">
      <alignment horizontal="center" vertical="center"/>
      <protection locked="0"/>
    </xf>
    <xf numFmtId="0" fontId="3" fillId="0" borderId="1" xfId="0" applyFont="1" applyBorder="1" applyAlignment="1">
      <alignment horizontal="center" vertical="top"/>
    </xf>
    <xf numFmtId="0" fontId="3" fillId="0" borderId="9" xfId="0" applyFont="1" applyBorder="1" applyAlignment="1">
      <alignment horizontal="center" vertical="top"/>
    </xf>
    <xf numFmtId="0" fontId="20" fillId="0" borderId="0" xfId="0" applyFont="1"/>
    <xf numFmtId="0" fontId="1" fillId="0" borderId="0" xfId="0" applyFont="1"/>
    <xf numFmtId="0" fontId="3" fillId="0" borderId="29" xfId="0" applyFont="1" applyBorder="1" applyAlignment="1">
      <alignment horizontal="center" wrapText="1"/>
    </xf>
    <xf numFmtId="0" fontId="2" fillId="0" borderId="41" xfId="0" applyFont="1" applyBorder="1"/>
    <xf numFmtId="0" fontId="14" fillId="0" borderId="41" xfId="0" applyFont="1" applyBorder="1"/>
    <xf numFmtId="0" fontId="14" fillId="0" borderId="0" xfId="0" applyFont="1"/>
    <xf numFmtId="0" fontId="3" fillId="0" borderId="5" xfId="0" applyFont="1" applyBorder="1" applyAlignment="1">
      <alignment horizontal="left" vertical="center" wrapText="1"/>
    </xf>
    <xf numFmtId="0" fontId="0" fillId="0" borderId="5" xfId="0" applyBorder="1" applyAlignment="1">
      <alignment horizontal="center" vertical="center" wrapText="1"/>
    </xf>
    <xf numFmtId="164" fontId="1" fillId="0" borderId="3" xfId="0" applyNumberFormat="1" applyFont="1" applyBorder="1" applyAlignment="1">
      <alignment horizontal="center" vertical="center"/>
    </xf>
    <xf numFmtId="0" fontId="0" fillId="0" borderId="17" xfId="0" applyBorder="1" applyAlignment="1">
      <alignment horizontal="center" vertical="center"/>
    </xf>
    <xf numFmtId="164" fontId="1" fillId="0" borderId="3" xfId="0" applyNumberFormat="1" applyFont="1" applyBorder="1" applyAlignment="1">
      <alignment horizontal="center"/>
    </xf>
    <xf numFmtId="164" fontId="1" fillId="0" borderId="15" xfId="0" applyNumberFormat="1" applyFont="1" applyBorder="1" applyAlignment="1">
      <alignment horizontal="center"/>
    </xf>
    <xf numFmtId="0" fontId="2" fillId="0" borderId="26" xfId="0" applyFont="1" applyBorder="1"/>
    <xf numFmtId="0" fontId="1" fillId="0" borderId="26" xfId="0" applyFont="1" applyBorder="1" applyAlignment="1">
      <alignment horizontal="left" vertical="top"/>
    </xf>
    <xf numFmtId="0" fontId="0" fillId="0" borderId="6"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6" xfId="0" applyBorder="1" applyAlignment="1">
      <alignment horizontal="left" vertical="top"/>
    </xf>
    <xf numFmtId="0" fontId="0" fillId="0" borderId="45" xfId="0" applyBorder="1" applyAlignment="1">
      <alignment horizontal="left" vertical="top"/>
    </xf>
    <xf numFmtId="0" fontId="0" fillId="0" borderId="32" xfId="0" applyBorder="1" applyAlignment="1">
      <alignment horizontal="left" vertical="top"/>
    </xf>
    <xf numFmtId="0" fontId="1" fillId="0" borderId="13" xfId="0" quotePrefix="1" applyFont="1" applyBorder="1" applyAlignment="1">
      <alignment horizontal="center"/>
    </xf>
    <xf numFmtId="0" fontId="1" fillId="0" borderId="7" xfId="0" quotePrefix="1" applyFont="1" applyBorder="1" applyAlignment="1">
      <alignment horizontal="center"/>
    </xf>
    <xf numFmtId="164" fontId="3" fillId="0" borderId="3" xfId="0" applyNumberFormat="1" applyFont="1" applyBorder="1" applyAlignment="1">
      <alignment horizontal="center"/>
    </xf>
    <xf numFmtId="164" fontId="3" fillId="0" borderId="17" xfId="0" applyNumberFormat="1" applyFont="1" applyBorder="1" applyAlignment="1">
      <alignment horizontal="center"/>
    </xf>
    <xf numFmtId="2" fontId="1" fillId="0" borderId="3" xfId="0" applyNumberFormat="1" applyFont="1" applyBorder="1" applyAlignment="1">
      <alignment horizontal="center" vertical="center"/>
    </xf>
    <xf numFmtId="2" fontId="1" fillId="0" borderId="17" xfId="0" applyNumberFormat="1" applyFont="1" applyBorder="1" applyAlignment="1">
      <alignment horizontal="center" vertical="center"/>
    </xf>
    <xf numFmtId="165" fontId="0" fillId="0" borderId="17" xfId="0" applyNumberFormat="1" applyBorder="1" applyAlignment="1">
      <alignment horizontal="center"/>
    </xf>
    <xf numFmtId="165" fontId="0" fillId="0" borderId="16" xfId="0" applyNumberFormat="1" applyBorder="1" applyAlignment="1">
      <alignment horizontal="center"/>
    </xf>
    <xf numFmtId="0" fontId="1" fillId="0" borderId="27" xfId="0" quotePrefix="1" applyFont="1" applyBorder="1" applyAlignment="1">
      <alignment horizontal="center"/>
    </xf>
    <xf numFmtId="0" fontId="1" fillId="0" borderId="0" xfId="0" quotePrefix="1" applyFont="1" applyAlignment="1">
      <alignment horizontal="center"/>
    </xf>
    <xf numFmtId="164" fontId="3" fillId="0" borderId="14" xfId="0" applyNumberFormat="1" applyFont="1" applyBorder="1" applyAlignment="1">
      <alignment horizontal="center"/>
    </xf>
    <xf numFmtId="0" fontId="3" fillId="0" borderId="18" xfId="0" applyFont="1" applyBorder="1" applyAlignment="1">
      <alignment horizontal="center" vertical="top" wrapText="1"/>
    </xf>
    <xf numFmtId="2" fontId="1" fillId="0" borderId="14" xfId="0" applyNumberFormat="1" applyFont="1" applyBorder="1" applyAlignment="1">
      <alignment horizontal="center" vertical="center"/>
    </xf>
    <xf numFmtId="49" fontId="1" fillId="0" borderId="3" xfId="0" applyNumberFormat="1" applyFont="1" applyBorder="1" applyAlignment="1">
      <alignment horizontal="center"/>
    </xf>
    <xf numFmtId="49" fontId="1" fillId="0" borderId="14" xfId="0" applyNumberFormat="1" applyFont="1" applyBorder="1" applyAlignment="1">
      <alignment horizontal="center"/>
    </xf>
    <xf numFmtId="0" fontId="3" fillId="0" borderId="14" xfId="0" applyFont="1" applyBorder="1" applyAlignment="1">
      <alignment horizontal="left" wrapText="1"/>
    </xf>
    <xf numFmtId="0" fontId="1" fillId="0" borderId="12" xfId="0" quotePrefix="1" applyFont="1" applyBorder="1" applyAlignment="1">
      <alignment horizontal="center"/>
    </xf>
    <xf numFmtId="165" fontId="3" fillId="5" borderId="33" xfId="0" applyNumberFormat="1" applyFont="1" applyFill="1" applyBorder="1" applyAlignment="1">
      <alignment horizontal="center"/>
    </xf>
    <xf numFmtId="165" fontId="3" fillId="5" borderId="14" xfId="0" applyNumberFormat="1" applyFont="1" applyFill="1" applyBorder="1" applyAlignment="1">
      <alignment horizontal="center"/>
    </xf>
    <xf numFmtId="167" fontId="1" fillId="0" borderId="3" xfId="0" applyNumberFormat="1" applyFont="1" applyBorder="1" applyAlignment="1">
      <alignment horizontal="center"/>
    </xf>
    <xf numFmtId="167" fontId="1" fillId="0" borderId="14" xfId="0" applyNumberFormat="1" applyFont="1" applyBorder="1" applyAlignment="1">
      <alignment horizontal="center"/>
    </xf>
    <xf numFmtId="167" fontId="0" fillId="0" borderId="15" xfId="0" applyNumberFormat="1" applyBorder="1" applyAlignment="1">
      <alignment horizontal="center" vertical="center"/>
    </xf>
    <xf numFmtId="167" fontId="0" fillId="0" borderId="16" xfId="0" applyNumberFormat="1" applyBorder="1" applyAlignment="1">
      <alignment horizontal="center" vertical="center"/>
    </xf>
    <xf numFmtId="2" fontId="1" fillId="0" borderId="3" xfId="0" quotePrefix="1" applyNumberFormat="1" applyFont="1" applyBorder="1" applyAlignment="1">
      <alignment horizontal="center" vertical="center"/>
    </xf>
    <xf numFmtId="0" fontId="1" fillId="0" borderId="17" xfId="0" applyFont="1" applyBorder="1" applyAlignment="1">
      <alignment horizontal="left" vertical="top"/>
    </xf>
    <xf numFmtId="0" fontId="1" fillId="0" borderId="48" xfId="0" applyFont="1" applyBorder="1" applyAlignment="1">
      <alignment horizontal="left" vertical="top"/>
    </xf>
    <xf numFmtId="0" fontId="0" fillId="0" borderId="21" xfId="0" applyBorder="1"/>
    <xf numFmtId="0" fontId="1" fillId="0" borderId="32" xfId="0" applyFont="1" applyBorder="1" applyAlignment="1">
      <alignment horizontal="left" vertical="center"/>
    </xf>
    <xf numFmtId="0" fontId="0" fillId="0" borderId="30" xfId="0" applyBorder="1" applyAlignment="1">
      <alignment vertical="center"/>
    </xf>
    <xf numFmtId="167" fontId="0" fillId="0" borderId="3" xfId="0" applyNumberFormat="1" applyBorder="1" applyAlignment="1">
      <alignment horizontal="center" vertical="center"/>
    </xf>
    <xf numFmtId="167" fontId="0" fillId="0" borderId="14" xfId="0" applyNumberFormat="1" applyBorder="1" applyAlignment="1">
      <alignment horizontal="center" vertical="center"/>
    </xf>
    <xf numFmtId="0" fontId="0" fillId="0" borderId="4" xfId="0" applyBorder="1" applyAlignment="1">
      <alignment vertical="center" wrapText="1"/>
    </xf>
    <xf numFmtId="0" fontId="3" fillId="0" borderId="2" xfId="0" applyFont="1" applyBorder="1" applyAlignment="1">
      <alignment vertical="top" wrapText="1"/>
    </xf>
    <xf numFmtId="0" fontId="0" fillId="0" borderId="2" xfId="0" applyBorder="1" applyAlignment="1">
      <alignment vertical="top" wrapText="1"/>
    </xf>
    <xf numFmtId="0" fontId="3" fillId="0" borderId="14" xfId="0" applyFont="1" applyBorder="1" applyAlignment="1">
      <alignment horizontal="left"/>
    </xf>
    <xf numFmtId="0" fontId="0" fillId="0" borderId="18" xfId="0" applyBorder="1" applyAlignment="1">
      <alignment horizontal="center" vertical="top" wrapText="1"/>
    </xf>
    <xf numFmtId="0" fontId="0" fillId="0" borderId="45" xfId="0" applyBorder="1" applyAlignment="1">
      <alignment horizontal="center" vertical="top" wrapText="1"/>
    </xf>
    <xf numFmtId="0" fontId="3" fillId="0" borderId="45"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vertical="top" wrapText="1"/>
    </xf>
    <xf numFmtId="0" fontId="1" fillId="0" borderId="49" xfId="0" applyFont="1" applyBorder="1" applyAlignment="1">
      <alignment horizontal="left" vertical="center"/>
    </xf>
    <xf numFmtId="0" fontId="0" fillId="0" borderId="10" xfId="0" applyBorder="1" applyAlignment="1">
      <alignment vertical="center"/>
    </xf>
    <xf numFmtId="0" fontId="3" fillId="0" borderId="6" xfId="0" applyFont="1" applyBorder="1" applyAlignment="1">
      <alignment horizontal="center" vertical="center" wrapText="1"/>
    </xf>
    <xf numFmtId="0" fontId="1" fillId="0" borderId="71" xfId="0" applyFont="1" applyBorder="1" applyAlignment="1">
      <alignment horizontal="center" vertical="top" wrapText="1"/>
    </xf>
    <xf numFmtId="0" fontId="3" fillId="0" borderId="30" xfId="0" applyFont="1" applyBorder="1" applyAlignment="1">
      <alignment horizontal="center"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5" xfId="0" applyFont="1" applyBorder="1" applyAlignment="1">
      <alignment horizontal="left" vertical="top" wrapText="1"/>
    </xf>
    <xf numFmtId="0" fontId="1" fillId="0" borderId="32" xfId="0" applyFont="1" applyBorder="1" applyAlignment="1">
      <alignment horizontal="left" vertical="top" wrapText="1"/>
    </xf>
    <xf numFmtId="0" fontId="1" fillId="0" borderId="20" xfId="0" applyFont="1" applyBorder="1" applyAlignment="1">
      <alignment horizontal="center" vertical="top" wrapText="1"/>
    </xf>
    <xf numFmtId="0" fontId="1" fillId="0" borderId="31" xfId="0" applyFont="1" applyBorder="1" applyAlignment="1">
      <alignment horizontal="center" vertical="top" wrapText="1"/>
    </xf>
    <xf numFmtId="165" fontId="3" fillId="5" borderId="16" xfId="0" applyNumberFormat="1" applyFont="1" applyFill="1" applyBorder="1" applyAlignment="1">
      <alignment horizontal="center"/>
    </xf>
    <xf numFmtId="165" fontId="0" fillId="0" borderId="3" xfId="0" applyNumberFormat="1" applyBorder="1" applyAlignment="1">
      <alignment horizontal="center" vertical="center"/>
    </xf>
    <xf numFmtId="165" fontId="0" fillId="0" borderId="17" xfId="0" applyNumberFormat="1" applyBorder="1" applyAlignment="1">
      <alignment horizontal="center" vertical="center"/>
    </xf>
    <xf numFmtId="165" fontId="1" fillId="0" borderId="3" xfId="0" applyNumberFormat="1" applyFont="1" applyBorder="1" applyAlignment="1">
      <alignment horizontal="center"/>
    </xf>
    <xf numFmtId="165" fontId="1" fillId="0" borderId="17" xfId="0" applyNumberFormat="1" applyFont="1" applyBorder="1" applyAlignment="1">
      <alignment horizontal="center"/>
    </xf>
    <xf numFmtId="0" fontId="0" fillId="0" borderId="4" xfId="0" applyBorder="1" applyAlignment="1">
      <alignment horizontal="center" wrapText="1"/>
    </xf>
    <xf numFmtId="0" fontId="0" fillId="0" borderId="4" xfId="0" applyBorder="1" applyAlignment="1">
      <alignment horizontal="center" vertical="top" wrapText="1"/>
    </xf>
    <xf numFmtId="0" fontId="3" fillId="0" borderId="4" xfId="0" applyFont="1" applyBorder="1" applyAlignment="1">
      <alignment horizontal="center" wrapText="1"/>
    </xf>
    <xf numFmtId="0" fontId="3" fillId="0" borderId="3" xfId="0" applyFont="1" applyBorder="1" applyAlignment="1">
      <alignment horizontal="center" vertical="top" wrapText="1"/>
    </xf>
    <xf numFmtId="0" fontId="1" fillId="0" borderId="3" xfId="0" applyFont="1" applyBorder="1" applyAlignment="1">
      <alignment horizontal="center" vertical="top" wrapText="1"/>
    </xf>
    <xf numFmtId="0" fontId="0" fillId="0" borderId="15" xfId="0" applyBorder="1" applyAlignment="1">
      <alignment horizontal="center" vertical="top" wrapText="1"/>
    </xf>
    <xf numFmtId="0" fontId="1" fillId="0" borderId="4" xfId="0" applyFont="1" applyBorder="1" applyAlignment="1">
      <alignment horizontal="center" wrapText="1"/>
    </xf>
    <xf numFmtId="0" fontId="3" fillId="0" borderId="2" xfId="0" applyFont="1" applyBorder="1" applyAlignment="1">
      <alignment wrapText="1"/>
    </xf>
    <xf numFmtId="0" fontId="0" fillId="0" borderId="0" xfId="0" applyAlignment="1">
      <alignment vertical="center"/>
    </xf>
    <xf numFmtId="0" fontId="0" fillId="0" borderId="5" xfId="0" applyBorder="1" applyAlignment="1">
      <alignment vertical="center"/>
    </xf>
    <xf numFmtId="0" fontId="0" fillId="0" borderId="45" xfId="0" applyBorder="1" applyAlignment="1">
      <alignment vertical="center"/>
    </xf>
    <xf numFmtId="0" fontId="0" fillId="0" borderId="32" xfId="0" applyBorder="1" applyAlignment="1">
      <alignment vertical="center"/>
    </xf>
  </cellXfs>
  <cellStyles count="3">
    <cellStyle name="Hyperlink" xfId="2" builtinId="8"/>
    <cellStyle name="Normal" xfId="0" builtinId="0"/>
    <cellStyle name="Normal 3" xfId="1" xr:uid="{00000000-0005-0000-0000-000001000000}"/>
  </cellStyles>
  <dxfs count="91">
    <dxf>
      <font>
        <b/>
        <i val="0"/>
      </font>
      <fill>
        <patternFill>
          <bgColor rgb="FFFFCCFF"/>
        </patternFill>
      </fill>
    </dxf>
    <dxf>
      <font>
        <color theme="0" tint="-0.24994659260841701"/>
      </font>
      <fill>
        <patternFill>
          <bgColor theme="0" tint="-0.24994659260841701"/>
        </patternFill>
      </fill>
    </dxf>
    <dxf>
      <font>
        <strike val="0"/>
        <color theme="0" tint="-0.24994659260841701"/>
      </font>
      <fill>
        <patternFill>
          <bgColor theme="0" tint="-0.24994659260841701"/>
        </patternFill>
      </fill>
    </dxf>
    <dxf>
      <font>
        <b val="0"/>
        <i val="0"/>
        <strike val="0"/>
        <color auto="1"/>
      </font>
      <fill>
        <patternFill patternType="none">
          <bgColor auto="1"/>
        </patternFill>
      </fill>
    </dxf>
    <dxf>
      <font>
        <strike val="0"/>
        <color theme="0" tint="-0.24994659260841701"/>
      </font>
      <fill>
        <patternFill>
          <bgColor theme="0" tint="-0.24994659260841701"/>
        </patternFill>
      </fill>
    </dxf>
    <dxf>
      <font>
        <b val="0"/>
        <i val="0"/>
        <strike val="0"/>
        <color auto="1"/>
      </font>
      <fill>
        <patternFill patternType="none">
          <bgColor auto="1"/>
        </patternFill>
      </fill>
    </dxf>
    <dxf>
      <font>
        <b val="0"/>
        <i val="0"/>
        <strike val="0"/>
      </font>
    </dxf>
    <dxf>
      <font>
        <b val="0"/>
        <i val="0"/>
        <strike val="0"/>
        <color theme="0" tint="-0.24994659260841701"/>
      </font>
      <fill>
        <patternFill>
          <bgColor theme="0" tint="-0.24994659260841701"/>
        </patternFill>
      </fill>
    </dxf>
    <dxf>
      <font>
        <strike val="0"/>
        <color theme="0" tint="-0.24994659260841701"/>
      </font>
      <fill>
        <patternFill>
          <bgColor theme="0" tint="-0.24994659260841701"/>
        </patternFill>
      </fill>
    </dxf>
    <dxf>
      <font>
        <b val="0"/>
        <i val="0"/>
        <strike val="0"/>
        <color auto="1"/>
      </font>
      <fill>
        <patternFill>
          <bgColor rgb="FF66FFFF"/>
        </patternFill>
      </fill>
    </dxf>
    <dxf>
      <font>
        <b val="0"/>
        <i val="0"/>
        <strike val="0"/>
      </font>
      <fill>
        <patternFill>
          <bgColor rgb="FF66FFFF"/>
        </patternFill>
      </fill>
    </dxf>
    <dxf>
      <font>
        <strike val="0"/>
        <color theme="0" tint="-0.24994659260841701"/>
      </font>
      <fill>
        <patternFill>
          <bgColor theme="0" tint="-0.24994659260841701"/>
        </patternFill>
      </fill>
    </dxf>
    <dxf>
      <font>
        <strike val="0"/>
      </font>
      <fill>
        <patternFill>
          <bgColor rgb="FF66FFFF"/>
        </patternFill>
      </fill>
    </dxf>
    <dxf>
      <font>
        <b val="0"/>
        <i val="0"/>
        <strike val="0"/>
        <color theme="0" tint="-0.24994659260841701"/>
      </font>
      <fill>
        <patternFill>
          <bgColor theme="0" tint="-0.24994659260841701"/>
        </patternFill>
      </fill>
    </dxf>
    <dxf>
      <font>
        <b/>
        <i val="0"/>
        <strike val="0"/>
      </font>
      <fill>
        <patternFill>
          <bgColor rgb="FFFFCCFF"/>
        </patternFill>
      </fill>
    </dxf>
    <dxf>
      <font>
        <b val="0"/>
        <i val="0"/>
        <strike val="0"/>
      </font>
      <fill>
        <patternFill patternType="none">
          <bgColor auto="1"/>
        </patternFill>
      </fill>
    </dxf>
    <dxf>
      <font>
        <b val="0"/>
        <i val="0"/>
        <strike val="0"/>
      </font>
    </dxf>
    <dxf>
      <font>
        <b val="0"/>
        <i val="0"/>
        <strike val="0"/>
      </font>
    </dxf>
    <dxf>
      <font>
        <b val="0"/>
        <i val="0"/>
        <strike val="0"/>
        <color theme="0" tint="-0.24994659260841701"/>
      </font>
      <fill>
        <patternFill>
          <bgColor theme="0" tint="-0.24994659260841701"/>
        </patternFill>
      </fill>
    </dxf>
    <dxf>
      <font>
        <b val="0"/>
        <i val="0"/>
      </font>
    </dxf>
    <dxf>
      <font>
        <strike val="0"/>
        <color theme="0" tint="-0.24994659260841701"/>
      </font>
      <fill>
        <patternFill>
          <bgColor theme="0" tint="-0.24994659260841701"/>
        </patternFill>
      </fill>
    </dxf>
    <dxf>
      <font>
        <b val="0"/>
        <i val="0"/>
        <strike val="0"/>
      </font>
    </dxf>
    <dxf>
      <font>
        <strike val="0"/>
        <color theme="0" tint="-0.24994659260841701"/>
      </font>
      <fill>
        <patternFill>
          <bgColor theme="0" tint="-0.24994659260841701"/>
        </patternFill>
      </fill>
    </dxf>
    <dxf>
      <font>
        <b val="0"/>
        <i val="0"/>
        <strike val="0"/>
      </font>
    </dxf>
    <dxf>
      <font>
        <b val="0"/>
        <i val="0"/>
        <strike val="0"/>
        <color theme="0" tint="-0.24994659260841701"/>
      </font>
      <fill>
        <patternFill>
          <bgColor theme="0" tint="-0.24994659260841701"/>
        </patternFill>
      </fill>
    </dxf>
    <dxf>
      <font>
        <strike val="0"/>
        <color theme="0" tint="-0.24994659260841701"/>
      </font>
      <fill>
        <patternFill>
          <bgColor theme="0" tint="-0.24994659260841701"/>
        </patternFill>
      </fill>
    </dxf>
    <dxf>
      <font>
        <b val="0"/>
        <i val="0"/>
        <strike val="0"/>
      </font>
    </dxf>
    <dxf>
      <font>
        <strike val="0"/>
        <color theme="0" tint="-0.24994659260841701"/>
      </font>
      <fill>
        <patternFill>
          <bgColor theme="0" tint="-0.24994659260841701"/>
        </patternFill>
      </fill>
    </dxf>
    <dxf>
      <font>
        <b val="0"/>
        <i val="0"/>
        <strike val="0"/>
      </font>
    </dxf>
    <dxf>
      <font>
        <b val="0"/>
        <i val="0"/>
        <strike val="0"/>
      </font>
    </dxf>
    <dxf>
      <font>
        <b val="0"/>
        <i val="0"/>
        <strike val="0"/>
        <color theme="0" tint="-0.24994659260841701"/>
      </font>
      <fill>
        <patternFill>
          <bgColor theme="0" tint="-0.24994659260841701"/>
        </patternFill>
      </fill>
    </dxf>
    <dxf>
      <font>
        <b val="0"/>
        <i val="0"/>
        <strike val="0"/>
      </font>
    </dxf>
    <dxf>
      <font>
        <b val="0"/>
        <i val="0"/>
        <strike val="0"/>
        <color theme="0" tint="-0.24994659260841701"/>
      </font>
      <fill>
        <patternFill>
          <bgColor theme="0" tint="-0.24994659260841701"/>
        </patternFill>
      </fill>
    </dxf>
    <dxf>
      <font>
        <b/>
        <i val="0"/>
        <strike val="0"/>
        <color rgb="FFC00000"/>
      </font>
    </dxf>
    <dxf>
      <font>
        <b val="0"/>
        <i val="0"/>
        <strike val="0"/>
        <color theme="0" tint="-0.499984740745262"/>
      </font>
      <fill>
        <patternFill>
          <bgColor theme="0" tint="-0.24994659260841701"/>
        </patternFill>
      </fill>
    </dxf>
    <dxf>
      <font>
        <b val="0"/>
        <i val="0"/>
        <strike val="0"/>
      </font>
      <fill>
        <patternFill>
          <bgColor rgb="FF66FFFF"/>
        </patternFill>
      </fill>
    </dxf>
    <dxf>
      <font>
        <b val="0"/>
        <i val="0"/>
        <strike val="0"/>
        <color theme="0" tint="-0.499984740745262"/>
      </font>
      <fill>
        <patternFill>
          <bgColor theme="0" tint="-0.24994659260841701"/>
        </patternFill>
      </fill>
    </dxf>
    <dxf>
      <font>
        <b val="0"/>
        <i val="0"/>
        <strike val="0"/>
      </font>
      <fill>
        <patternFill>
          <bgColor theme="4" tint="0.39994506668294322"/>
        </patternFill>
      </fill>
    </dxf>
    <dxf>
      <font>
        <b val="0"/>
        <i val="0"/>
        <strike val="0"/>
        <color theme="0" tint="-0.499984740745262"/>
      </font>
      <fill>
        <patternFill>
          <bgColor theme="0" tint="-0.24994659260841701"/>
        </patternFill>
      </fill>
    </dxf>
    <dxf>
      <font>
        <b val="0"/>
        <i val="0"/>
        <strike val="0"/>
      </font>
      <fill>
        <patternFill>
          <bgColor theme="4" tint="0.39994506668294322"/>
        </patternFill>
      </fill>
    </dxf>
    <dxf>
      <font>
        <b val="0"/>
        <i val="0"/>
        <strike val="0"/>
      </font>
      <fill>
        <patternFill>
          <bgColor theme="4" tint="0.39994506668294322"/>
        </patternFill>
      </fill>
    </dxf>
    <dxf>
      <font>
        <b val="0"/>
        <i val="0"/>
        <strike val="0"/>
        <color theme="0" tint="-0.499984740745262"/>
      </font>
      <fill>
        <patternFill>
          <bgColor theme="0" tint="-0.24994659260841701"/>
        </patternFill>
      </fill>
    </dxf>
    <dxf>
      <font>
        <b/>
        <i val="0"/>
        <color rgb="FFC00000"/>
      </font>
    </dxf>
    <dxf>
      <font>
        <b/>
        <i val="0"/>
        <color rgb="FFC00000"/>
      </font>
    </dxf>
    <dxf>
      <font>
        <b val="0"/>
        <i val="0"/>
        <strike val="0"/>
        <color theme="0" tint="-0.499984740745262"/>
      </font>
    </dxf>
    <dxf>
      <font>
        <b val="0"/>
        <i val="0"/>
        <strike val="0"/>
        <color auto="1"/>
      </font>
    </dxf>
    <dxf>
      <font>
        <b val="0"/>
        <i val="0"/>
        <strike val="0"/>
      </font>
    </dxf>
    <dxf>
      <font>
        <b val="0"/>
        <i val="0"/>
        <strike val="0"/>
        <color theme="0" tint="-0.499984740745262"/>
      </font>
    </dxf>
    <dxf>
      <font>
        <b val="0"/>
        <i val="0"/>
        <strike val="0"/>
        <color theme="0" tint="-0.499984740745262"/>
      </font>
    </dxf>
    <dxf>
      <font>
        <b val="0"/>
        <i val="0"/>
        <strike val="0"/>
      </font>
    </dxf>
    <dxf>
      <font>
        <b val="0"/>
        <i val="0"/>
        <strike val="0"/>
        <color theme="0" tint="-0.499984740745262"/>
      </font>
    </dxf>
    <dxf>
      <font>
        <b val="0"/>
        <i val="0"/>
        <strike val="0"/>
        <color auto="1"/>
      </font>
    </dxf>
    <dxf>
      <font>
        <b val="0"/>
        <i val="0"/>
        <strike val="0"/>
      </font>
    </dxf>
    <dxf>
      <font>
        <b val="0"/>
        <i val="0"/>
        <strike val="0"/>
        <color theme="0" tint="-0.499984740745262"/>
      </font>
    </dxf>
    <dxf>
      <font>
        <b/>
        <i val="0"/>
        <strike val="0"/>
        <color rgb="FFC00000"/>
      </font>
    </dxf>
    <dxf>
      <font>
        <b val="0"/>
        <i val="0"/>
        <strike val="0"/>
        <color theme="0" tint="-0.499984740745262"/>
      </font>
      <fill>
        <patternFill>
          <bgColor theme="0" tint="-0.24994659260841701"/>
        </patternFill>
      </fill>
    </dxf>
    <dxf>
      <font>
        <b val="0"/>
        <i val="0"/>
        <strike val="0"/>
      </font>
      <fill>
        <patternFill>
          <bgColor rgb="FF66FFFF"/>
        </patternFill>
      </fill>
    </dxf>
    <dxf>
      <font>
        <b val="0"/>
        <i val="0"/>
        <strike val="0"/>
        <color theme="0" tint="-0.499984740745262"/>
      </font>
      <fill>
        <patternFill>
          <bgColor theme="0" tint="-0.24994659260841701"/>
        </patternFill>
      </fill>
    </dxf>
    <dxf>
      <font>
        <b val="0"/>
        <i val="0"/>
        <strike val="0"/>
      </font>
      <fill>
        <patternFill>
          <bgColor theme="4" tint="0.39994506668294322"/>
        </patternFill>
      </fill>
    </dxf>
    <dxf>
      <font>
        <b val="0"/>
        <i val="0"/>
        <strike val="0"/>
        <color theme="0" tint="-0.499984740745262"/>
      </font>
      <fill>
        <patternFill>
          <bgColor theme="0" tint="-0.24994659260841701"/>
        </patternFill>
      </fill>
    </dxf>
    <dxf>
      <font>
        <b val="0"/>
        <i val="0"/>
        <strike val="0"/>
      </font>
      <fill>
        <patternFill>
          <bgColor theme="4" tint="0.39994506668294322"/>
        </patternFill>
      </fill>
    </dxf>
    <dxf>
      <font>
        <b val="0"/>
        <i val="0"/>
        <strike val="0"/>
      </font>
      <fill>
        <patternFill>
          <bgColor theme="4" tint="0.39994506668294322"/>
        </patternFill>
      </fill>
    </dxf>
    <dxf>
      <font>
        <b val="0"/>
        <i val="0"/>
        <strike val="0"/>
        <color theme="0" tint="-0.499984740745262"/>
      </font>
      <fill>
        <patternFill>
          <bgColor theme="0" tint="-0.24994659260841701"/>
        </patternFill>
      </fill>
    </dxf>
    <dxf>
      <font>
        <b/>
        <i val="0"/>
        <color rgb="FFC00000"/>
      </font>
    </dxf>
    <dxf>
      <font>
        <b/>
        <i val="0"/>
        <color rgb="FFC00000"/>
      </font>
    </dxf>
    <dxf>
      <font>
        <b val="0"/>
        <i val="0"/>
        <strike val="0"/>
        <color theme="0" tint="-0.499984740745262"/>
      </font>
    </dxf>
    <dxf>
      <font>
        <b val="0"/>
        <i val="0"/>
        <strike val="0"/>
        <color auto="1"/>
      </font>
    </dxf>
    <dxf>
      <font>
        <b val="0"/>
        <i val="0"/>
        <strike val="0"/>
      </font>
    </dxf>
    <dxf>
      <font>
        <b val="0"/>
        <i val="0"/>
        <strike val="0"/>
        <color theme="0" tint="-0.499984740745262"/>
      </font>
    </dxf>
    <dxf>
      <font>
        <b val="0"/>
        <i val="0"/>
        <strike val="0"/>
        <color theme="0" tint="-0.499984740745262"/>
      </font>
    </dxf>
    <dxf>
      <font>
        <b val="0"/>
        <i val="0"/>
        <strike val="0"/>
      </font>
    </dxf>
    <dxf>
      <font>
        <b/>
        <i val="0"/>
        <strike val="0"/>
        <color rgb="FFC00000"/>
      </font>
    </dxf>
    <dxf>
      <font>
        <b val="0"/>
        <i val="0"/>
        <strike val="0"/>
        <color theme="0" tint="-0.499984740745262"/>
      </font>
      <fill>
        <patternFill>
          <bgColor theme="0" tint="-0.24994659260841701"/>
        </patternFill>
      </fill>
    </dxf>
    <dxf>
      <font>
        <b val="0"/>
        <i val="0"/>
        <strike val="0"/>
        <color auto="1"/>
      </font>
      <fill>
        <patternFill>
          <bgColor rgb="FF66FFFF"/>
        </patternFill>
      </fill>
    </dxf>
    <dxf>
      <fill>
        <patternFill>
          <bgColor theme="4" tint="0.39994506668294322"/>
        </patternFill>
      </fill>
    </dxf>
    <dxf>
      <fill>
        <patternFill>
          <bgColor theme="0" tint="-0.24994659260841701"/>
        </patternFill>
      </fill>
    </dxf>
    <dxf>
      <font>
        <b val="0"/>
        <i val="0"/>
        <strike val="0"/>
        <color theme="0" tint="-0.499984740745262"/>
      </font>
      <fill>
        <patternFill>
          <bgColor theme="0" tint="-0.24994659260841701"/>
        </patternFill>
      </fill>
    </dxf>
    <dxf>
      <font>
        <b val="0"/>
        <i val="0"/>
        <strike val="0"/>
        <color auto="1"/>
      </font>
      <fill>
        <patternFill>
          <bgColor rgb="FF66FFFF"/>
        </patternFill>
      </fill>
    </dxf>
    <dxf>
      <font>
        <b/>
        <i val="0"/>
        <color rgb="FFC00000"/>
      </font>
    </dxf>
    <dxf>
      <font>
        <strike val="0"/>
        <color theme="1"/>
      </font>
    </dxf>
    <dxf>
      <font>
        <strike val="0"/>
        <color theme="0" tint="-0.499984740745262"/>
      </font>
    </dxf>
    <dxf>
      <font>
        <b/>
        <i val="0"/>
        <strike val="0"/>
        <color rgb="FFC00000"/>
      </font>
    </dxf>
    <dxf>
      <font>
        <b val="0"/>
        <i val="0"/>
        <strike val="0"/>
        <color theme="0" tint="-0.499984740745262"/>
      </font>
      <fill>
        <patternFill>
          <bgColor theme="0" tint="-0.24994659260841701"/>
        </patternFill>
      </fill>
    </dxf>
    <dxf>
      <font>
        <b val="0"/>
        <i val="0"/>
        <strike val="0"/>
        <color auto="1"/>
      </font>
      <fill>
        <patternFill>
          <bgColor rgb="FF66FFFF"/>
        </patternFill>
      </fill>
    </dxf>
    <dxf>
      <fill>
        <patternFill>
          <bgColor theme="4" tint="0.39994506668294322"/>
        </patternFill>
      </fill>
    </dxf>
    <dxf>
      <fill>
        <patternFill>
          <bgColor theme="0" tint="-0.24994659260841701"/>
        </patternFill>
      </fill>
    </dxf>
    <dxf>
      <font>
        <b val="0"/>
        <i val="0"/>
        <strike val="0"/>
        <color theme="0" tint="-0.499984740745262"/>
      </font>
      <fill>
        <patternFill>
          <bgColor theme="0" tint="-0.24994659260841701"/>
        </patternFill>
      </fill>
    </dxf>
    <dxf>
      <font>
        <b val="0"/>
        <i val="0"/>
        <strike val="0"/>
        <color auto="1"/>
      </font>
      <fill>
        <patternFill>
          <bgColor rgb="FF66FFFF"/>
        </patternFill>
      </fill>
    </dxf>
    <dxf>
      <font>
        <b/>
        <i val="0"/>
        <color rgb="FFC00000"/>
      </font>
    </dxf>
    <dxf>
      <font>
        <strike val="0"/>
        <color theme="1"/>
      </font>
    </dxf>
    <dxf>
      <font>
        <strike val="0"/>
        <color theme="0" tint="-0.499984740745262"/>
      </font>
    </dxf>
  </dxfs>
  <tableStyles count="0" defaultTableStyle="TableStyleMedium9" defaultPivotStyle="PivotStyleLight16"/>
  <colors>
    <mruColors>
      <color rgb="FFFFFF99"/>
      <color rgb="FF66FFFF"/>
      <color rgb="FFFFCCFF"/>
      <color rgb="FF56B4E9"/>
      <color rgb="FFF0E442"/>
      <color rgb="FF0099CC"/>
      <color rgb="FF6699FF"/>
      <color rgb="FF3399FF"/>
      <color rgb="FFE6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hyperlink" Target="https://www.txdot.gov/apps/statewide_mapping/StatewidePlanningMap.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txdot.gov/apps/statewide_mapping/StatewidePlanningMap.html"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www.txdot.gov/apps/statewide_mapping/StatewidePlanningMap.html"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txdot.gov/apps/statewide_mapping/StatewidePlanningMap.html"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83"/>
  <sheetViews>
    <sheetView tabSelected="1" workbookViewId="0"/>
  </sheetViews>
  <sheetFormatPr defaultRowHeight="13.2"/>
  <sheetData>
    <row r="2" spans="2:16">
      <c r="B2" s="282" t="s">
        <v>571</v>
      </c>
      <c r="C2" s="282"/>
      <c r="D2" s="282"/>
      <c r="E2" s="282"/>
      <c r="F2" s="282"/>
      <c r="G2" s="282"/>
      <c r="H2" s="282"/>
      <c r="I2" s="282"/>
      <c r="J2" s="282"/>
      <c r="K2" s="282"/>
      <c r="L2" s="282"/>
      <c r="M2" s="282"/>
      <c r="N2" s="282"/>
      <c r="O2" s="282"/>
      <c r="P2" s="282"/>
    </row>
    <row r="3" spans="2:16">
      <c r="B3" s="282" t="s">
        <v>752</v>
      </c>
      <c r="C3" s="282"/>
      <c r="D3" s="282"/>
      <c r="E3" s="282"/>
      <c r="F3" s="282"/>
      <c r="G3" s="282"/>
      <c r="H3" s="282"/>
      <c r="I3" s="282"/>
      <c r="J3" s="282"/>
      <c r="K3" s="282"/>
      <c r="L3" s="282"/>
      <c r="M3" s="282"/>
      <c r="N3" s="282"/>
      <c r="O3" s="282"/>
      <c r="P3" s="282"/>
    </row>
    <row r="4" spans="2:16">
      <c r="B4" s="282" t="s">
        <v>806</v>
      </c>
      <c r="C4" s="282"/>
      <c r="D4" s="282"/>
      <c r="E4" s="282"/>
      <c r="F4" s="282"/>
      <c r="G4" s="282"/>
      <c r="H4" s="282"/>
      <c r="I4" s="282"/>
      <c r="J4" s="282"/>
      <c r="K4" s="282"/>
      <c r="L4" s="282"/>
      <c r="M4" s="282"/>
      <c r="N4" s="282"/>
      <c r="O4" s="282"/>
      <c r="P4" s="282"/>
    </row>
    <row r="6" spans="2:16">
      <c r="B6" s="80" t="s">
        <v>142</v>
      </c>
      <c r="K6" s="80" t="s">
        <v>156</v>
      </c>
    </row>
    <row r="8" spans="2:16">
      <c r="B8" s="20" t="s">
        <v>764</v>
      </c>
      <c r="K8" s="20" t="s">
        <v>779</v>
      </c>
    </row>
    <row r="9" spans="2:16">
      <c r="B9" s="20" t="s">
        <v>765</v>
      </c>
      <c r="K9" s="20" t="s">
        <v>703</v>
      </c>
    </row>
    <row r="10" spans="2:16">
      <c r="B10" s="20" t="s">
        <v>767</v>
      </c>
      <c r="K10" s="20" t="s">
        <v>780</v>
      </c>
    </row>
    <row r="11" spans="2:16">
      <c r="B11" s="20" t="s">
        <v>768</v>
      </c>
      <c r="K11" s="20" t="s">
        <v>781</v>
      </c>
    </row>
    <row r="12" spans="2:16">
      <c r="B12" s="20" t="s">
        <v>766</v>
      </c>
      <c r="K12" s="20" t="s">
        <v>782</v>
      </c>
    </row>
    <row r="13" spans="2:16">
      <c r="K13" s="20" t="s">
        <v>704</v>
      </c>
    </row>
    <row r="14" spans="2:16">
      <c r="B14" s="20" t="s">
        <v>769</v>
      </c>
      <c r="K14" s="20"/>
    </row>
    <row r="15" spans="2:16">
      <c r="B15" s="20" t="s">
        <v>770</v>
      </c>
      <c r="K15" s="80" t="s">
        <v>157</v>
      </c>
      <c r="M15" s="80" t="s">
        <v>158</v>
      </c>
    </row>
    <row r="16" spans="2:16">
      <c r="B16" s="20" t="s">
        <v>771</v>
      </c>
    </row>
    <row r="17" spans="2:13">
      <c r="B17" s="20" t="s">
        <v>772</v>
      </c>
      <c r="K17" s="227"/>
      <c r="M17" s="20" t="s">
        <v>787</v>
      </c>
    </row>
    <row r="18" spans="2:13">
      <c r="B18" s="20" t="s">
        <v>773</v>
      </c>
      <c r="K18" s="228"/>
      <c r="M18" s="20"/>
    </row>
    <row r="19" spans="2:13">
      <c r="B19" s="20" t="s">
        <v>774</v>
      </c>
    </row>
    <row r="20" spans="2:13">
      <c r="B20" s="20"/>
      <c r="K20" s="229"/>
      <c r="M20" s="20" t="s">
        <v>788</v>
      </c>
    </row>
    <row r="21" spans="2:13">
      <c r="B21" s="20" t="s">
        <v>775</v>
      </c>
      <c r="K21" s="230"/>
      <c r="M21" s="20" t="s">
        <v>789</v>
      </c>
    </row>
    <row r="22" spans="2:13">
      <c r="B22" s="20" t="s">
        <v>776</v>
      </c>
      <c r="M22" s="20"/>
    </row>
    <row r="23" spans="2:13">
      <c r="B23" s="20" t="s">
        <v>777</v>
      </c>
      <c r="K23" s="231"/>
      <c r="M23" s="20" t="s">
        <v>790</v>
      </c>
    </row>
    <row r="24" spans="2:13">
      <c r="K24" s="232"/>
      <c r="M24" s="20" t="s">
        <v>791</v>
      </c>
    </row>
    <row r="25" spans="2:13">
      <c r="B25" s="20" t="s">
        <v>778</v>
      </c>
      <c r="M25" s="20" t="s">
        <v>792</v>
      </c>
    </row>
    <row r="26" spans="2:13">
      <c r="M26" s="20" t="s">
        <v>793</v>
      </c>
    </row>
    <row r="27" spans="2:13">
      <c r="B27" s="80" t="s">
        <v>140</v>
      </c>
      <c r="E27" s="80" t="s">
        <v>141</v>
      </c>
      <c r="M27" s="20" t="s">
        <v>710</v>
      </c>
    </row>
    <row r="28" spans="2:13">
      <c r="M28" s="20" t="s">
        <v>711</v>
      </c>
    </row>
    <row r="29" spans="2:13">
      <c r="B29" s="20" t="s">
        <v>143</v>
      </c>
      <c r="E29" s="20" t="s">
        <v>144</v>
      </c>
      <c r="M29" s="20" t="s">
        <v>712</v>
      </c>
    </row>
    <row r="30" spans="2:13">
      <c r="E30" s="20" t="s">
        <v>145</v>
      </c>
      <c r="M30" s="20" t="s">
        <v>794</v>
      </c>
    </row>
    <row r="31" spans="2:13">
      <c r="E31" s="20" t="s">
        <v>146</v>
      </c>
      <c r="M31" s="20" t="s">
        <v>159</v>
      </c>
    </row>
    <row r="32" spans="2:13">
      <c r="M32" s="20" t="s">
        <v>623</v>
      </c>
    </row>
    <row r="33" spans="2:13">
      <c r="B33" s="20" t="s">
        <v>505</v>
      </c>
      <c r="E33" s="20" t="s">
        <v>541</v>
      </c>
      <c r="M33" s="20" t="s">
        <v>795</v>
      </c>
    </row>
    <row r="34" spans="2:13">
      <c r="E34" s="20" t="s">
        <v>783</v>
      </c>
      <c r="M34" s="20" t="s">
        <v>796</v>
      </c>
    </row>
    <row r="35" spans="2:13">
      <c r="E35" s="20" t="s">
        <v>543</v>
      </c>
      <c r="M35" s="20" t="s">
        <v>713</v>
      </c>
    </row>
    <row r="36" spans="2:13">
      <c r="E36" s="20" t="s">
        <v>542</v>
      </c>
      <c r="M36" s="20" t="s">
        <v>160</v>
      </c>
    </row>
    <row r="37" spans="2:13">
      <c r="M37" s="20" t="s">
        <v>161</v>
      </c>
    </row>
    <row r="38" spans="2:13">
      <c r="B38" s="20" t="s">
        <v>504</v>
      </c>
      <c r="E38" s="20" t="s">
        <v>556</v>
      </c>
    </row>
    <row r="39" spans="2:13">
      <c r="E39" s="20" t="s">
        <v>544</v>
      </c>
      <c r="K39" s="233"/>
      <c r="M39" s="20" t="s">
        <v>714</v>
      </c>
    </row>
    <row r="40" spans="2:13">
      <c r="E40" s="20"/>
      <c r="K40" s="234"/>
      <c r="M40" s="20" t="s">
        <v>715</v>
      </c>
    </row>
    <row r="41" spans="2:13">
      <c r="B41" s="20" t="s">
        <v>545</v>
      </c>
      <c r="E41" s="20" t="s">
        <v>546</v>
      </c>
    </row>
    <row r="42" spans="2:13">
      <c r="E42" s="20" t="s">
        <v>619</v>
      </c>
      <c r="K42" s="183"/>
      <c r="M42" s="20" t="s">
        <v>707</v>
      </c>
    </row>
    <row r="43" spans="2:13">
      <c r="E43" s="20" t="s">
        <v>620</v>
      </c>
      <c r="K43" s="182"/>
      <c r="M43" s="20" t="s">
        <v>705</v>
      </c>
    </row>
    <row r="44" spans="2:13">
      <c r="E44" s="20"/>
      <c r="M44" s="20" t="s">
        <v>706</v>
      </c>
    </row>
    <row r="45" spans="2:13">
      <c r="M45" s="147"/>
    </row>
    <row r="46" spans="2:13">
      <c r="B46" s="20" t="s">
        <v>547</v>
      </c>
      <c r="E46" s="20" t="s">
        <v>548</v>
      </c>
    </row>
    <row r="47" spans="2:13">
      <c r="E47" s="20" t="s">
        <v>784</v>
      </c>
      <c r="K47" s="80" t="s">
        <v>753</v>
      </c>
    </row>
    <row r="48" spans="2:13">
      <c r="E48" s="20" t="s">
        <v>549</v>
      </c>
    </row>
    <row r="49" spans="2:13">
      <c r="E49" s="20" t="s">
        <v>550</v>
      </c>
      <c r="K49" s="20" t="s">
        <v>754</v>
      </c>
    </row>
    <row r="50" spans="2:13">
      <c r="E50" s="20" t="s">
        <v>552</v>
      </c>
      <c r="K50" s="20" t="s">
        <v>755</v>
      </c>
    </row>
    <row r="51" spans="2:13">
      <c r="E51" s="20" t="s">
        <v>551</v>
      </c>
      <c r="K51" s="20" t="s">
        <v>756</v>
      </c>
    </row>
    <row r="52" spans="2:13">
      <c r="E52" s="20"/>
      <c r="K52" s="20" t="s">
        <v>757</v>
      </c>
    </row>
    <row r="53" spans="2:13">
      <c r="B53" s="20" t="s">
        <v>553</v>
      </c>
      <c r="E53" s="20" t="s">
        <v>554</v>
      </c>
      <c r="K53" s="20"/>
    </row>
    <row r="54" spans="2:13">
      <c r="E54" s="20" t="s">
        <v>555</v>
      </c>
      <c r="K54" s="227"/>
      <c r="M54" s="20" t="s">
        <v>797</v>
      </c>
    </row>
    <row r="55" spans="2:13">
      <c r="E55" s="20"/>
      <c r="K55" s="230"/>
      <c r="M55" s="20" t="s">
        <v>758</v>
      </c>
    </row>
    <row r="56" spans="2:13">
      <c r="B56" s="20" t="s">
        <v>557</v>
      </c>
      <c r="E56" s="20" t="s">
        <v>558</v>
      </c>
    </row>
    <row r="57" spans="2:13">
      <c r="E57" s="20" t="s">
        <v>621</v>
      </c>
    </row>
    <row r="58" spans="2:13">
      <c r="E58" s="20" t="s">
        <v>622</v>
      </c>
      <c r="K58" s="80" t="s">
        <v>807</v>
      </c>
    </row>
    <row r="59" spans="2:13">
      <c r="E59" s="20"/>
    </row>
    <row r="60" spans="2:13">
      <c r="B60" s="20" t="s">
        <v>559</v>
      </c>
      <c r="E60" s="20" t="s">
        <v>148</v>
      </c>
      <c r="K60" s="20" t="s">
        <v>808</v>
      </c>
    </row>
    <row r="61" spans="2:13">
      <c r="E61" s="20" t="s">
        <v>560</v>
      </c>
      <c r="K61" s="20" t="s">
        <v>809</v>
      </c>
    </row>
    <row r="62" spans="2:13">
      <c r="E62" s="20" t="s">
        <v>561</v>
      </c>
      <c r="K62" s="20" t="s">
        <v>810</v>
      </c>
    </row>
    <row r="63" spans="2:13">
      <c r="E63" s="20" t="s">
        <v>562</v>
      </c>
      <c r="K63" s="20" t="s">
        <v>811</v>
      </c>
    </row>
    <row r="64" spans="2:13">
      <c r="E64" s="20" t="s">
        <v>785</v>
      </c>
    </row>
    <row r="65" spans="2:12">
      <c r="E65" s="20" t="s">
        <v>563</v>
      </c>
    </row>
    <row r="66" spans="2:12">
      <c r="K66" s="147" t="s">
        <v>628</v>
      </c>
      <c r="L66" s="147"/>
    </row>
    <row r="67" spans="2:12">
      <c r="B67" s="20" t="s">
        <v>564</v>
      </c>
      <c r="E67" s="20" t="s">
        <v>147</v>
      </c>
      <c r="L67" t="s">
        <v>629</v>
      </c>
    </row>
    <row r="68" spans="2:12">
      <c r="E68" s="20" t="s">
        <v>565</v>
      </c>
      <c r="L68" s="20" t="s">
        <v>630</v>
      </c>
    </row>
    <row r="69" spans="2:12">
      <c r="E69" s="20" t="s">
        <v>566</v>
      </c>
      <c r="L69" s="20" t="s">
        <v>631</v>
      </c>
    </row>
    <row r="70" spans="2:12">
      <c r="E70" s="20" t="s">
        <v>567</v>
      </c>
      <c r="L70" s="20" t="s">
        <v>632</v>
      </c>
    </row>
    <row r="71" spans="2:12">
      <c r="E71" s="20" t="s">
        <v>568</v>
      </c>
      <c r="L71" s="20" t="s">
        <v>633</v>
      </c>
    </row>
    <row r="72" spans="2:12">
      <c r="E72" s="20" t="s">
        <v>786</v>
      </c>
      <c r="L72" s="20" t="s">
        <v>634</v>
      </c>
    </row>
    <row r="73" spans="2:12">
      <c r="E73" s="20" t="s">
        <v>569</v>
      </c>
      <c r="L73" s="20" t="s">
        <v>635</v>
      </c>
    </row>
    <row r="75" spans="2:12">
      <c r="B75" s="20" t="s">
        <v>570</v>
      </c>
      <c r="E75" s="20" t="s">
        <v>149</v>
      </c>
    </row>
    <row r="76" spans="2:12">
      <c r="E76" s="20" t="s">
        <v>150</v>
      </c>
      <c r="K76" s="147" t="s">
        <v>636</v>
      </c>
      <c r="L76" s="147"/>
    </row>
    <row r="77" spans="2:12">
      <c r="E77" s="20" t="s">
        <v>151</v>
      </c>
      <c r="L77" s="20" t="s">
        <v>637</v>
      </c>
    </row>
    <row r="78" spans="2:12">
      <c r="E78" s="20" t="s">
        <v>152</v>
      </c>
      <c r="L78" s="20" t="s">
        <v>630</v>
      </c>
    </row>
    <row r="79" spans="2:12">
      <c r="E79" s="20" t="s">
        <v>153</v>
      </c>
      <c r="L79" s="20" t="s">
        <v>638</v>
      </c>
    </row>
    <row r="80" spans="2:12">
      <c r="E80" s="20" t="s">
        <v>154</v>
      </c>
      <c r="L80" s="20" t="s">
        <v>632</v>
      </c>
    </row>
    <row r="81" spans="5:12">
      <c r="E81" s="20" t="s">
        <v>155</v>
      </c>
      <c r="L81" s="20" t="s">
        <v>633</v>
      </c>
    </row>
    <row r="82" spans="5:12">
      <c r="L82" s="20" t="s">
        <v>639</v>
      </c>
    </row>
    <row r="83" spans="5:12">
      <c r="L83" s="20" t="s">
        <v>640</v>
      </c>
    </row>
  </sheetData>
  <sheetProtection sheet="1" objects="1" scenarios="1"/>
  <mergeCells count="3">
    <mergeCell ref="B2:P2"/>
    <mergeCell ref="B3:P3"/>
    <mergeCell ref="B4:P4"/>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N75"/>
  <sheetViews>
    <sheetView workbookViewId="0"/>
  </sheetViews>
  <sheetFormatPr defaultRowHeight="13.2"/>
  <cols>
    <col min="2" max="2" width="12.6640625" bestFit="1" customWidth="1"/>
    <col min="4" max="4" width="15.33203125" bestFit="1" customWidth="1"/>
    <col min="6" max="6" width="10.88671875" customWidth="1"/>
    <col min="8" max="8" width="20" bestFit="1" customWidth="1"/>
    <col min="10" max="10" width="17.88671875" customWidth="1"/>
    <col min="12" max="12" width="20" bestFit="1" customWidth="1"/>
  </cols>
  <sheetData>
    <row r="3" spans="2:12">
      <c r="B3" s="8" t="s">
        <v>44</v>
      </c>
      <c r="D3" s="8" t="s">
        <v>50</v>
      </c>
      <c r="F3" s="5" t="s">
        <v>51</v>
      </c>
      <c r="H3" s="5" t="s">
        <v>641</v>
      </c>
      <c r="J3" s="5" t="s">
        <v>801</v>
      </c>
      <c r="L3" s="5" t="s">
        <v>802</v>
      </c>
    </row>
    <row r="4" spans="2:12">
      <c r="B4" s="9">
        <v>9</v>
      </c>
      <c r="D4" s="9">
        <v>0</v>
      </c>
      <c r="F4" s="1">
        <v>1</v>
      </c>
      <c r="H4" s="21" t="s">
        <v>642</v>
      </c>
      <c r="J4" s="1">
        <v>0</v>
      </c>
      <c r="L4" s="1">
        <v>0</v>
      </c>
    </row>
    <row r="5" spans="2:12">
      <c r="B5" s="9">
        <v>9.5</v>
      </c>
      <c r="D5" s="9">
        <v>1</v>
      </c>
      <c r="F5" s="1">
        <v>2</v>
      </c>
      <c r="H5" s="21" t="s">
        <v>643</v>
      </c>
      <c r="J5" s="1">
        <v>1</v>
      </c>
      <c r="L5" s="1">
        <v>1</v>
      </c>
    </row>
    <row r="6" spans="2:12">
      <c r="B6" s="9">
        <v>10</v>
      </c>
      <c r="D6" s="9">
        <v>2</v>
      </c>
      <c r="F6" s="1">
        <v>3</v>
      </c>
      <c r="H6" s="21" t="s">
        <v>644</v>
      </c>
      <c r="J6" s="1">
        <v>2</v>
      </c>
      <c r="L6" s="1">
        <v>2</v>
      </c>
    </row>
    <row r="7" spans="2:12">
      <c r="B7" s="9">
        <v>10.5</v>
      </c>
      <c r="D7" s="9">
        <v>3</v>
      </c>
      <c r="F7" s="1">
        <v>4</v>
      </c>
      <c r="H7" s="21" t="s">
        <v>645</v>
      </c>
      <c r="J7" s="1" t="str">
        <f>IF(LEFT('Intersection 1'!$J$9,1)="4",3,"")</f>
        <v/>
      </c>
      <c r="L7" s="1" t="str">
        <f>IF(LEFT('Intersection 2'!$J$9,1)="4",3,"")</f>
        <v/>
      </c>
    </row>
    <row r="8" spans="2:12">
      <c r="B8" s="9">
        <v>11</v>
      </c>
      <c r="D8" s="9">
        <v>4</v>
      </c>
      <c r="F8" s="1">
        <v>5</v>
      </c>
      <c r="H8" s="21" t="s">
        <v>646</v>
      </c>
      <c r="J8" s="1" t="str">
        <f>IF(LEFT('Intersection 1'!$J$9,1)="4",4,"")</f>
        <v/>
      </c>
      <c r="L8" s="1" t="str">
        <f>IF(LEFT('Intersection 2'!$J$9,1)="4",4,"")</f>
        <v/>
      </c>
    </row>
    <row r="9" spans="2:12">
      <c r="B9" s="9">
        <v>11.5</v>
      </c>
      <c r="D9" s="9">
        <v>5</v>
      </c>
      <c r="F9" s="1">
        <v>6</v>
      </c>
    </row>
    <row r="10" spans="2:12">
      <c r="B10" s="9">
        <v>12</v>
      </c>
      <c r="D10" s="9">
        <v>6</v>
      </c>
      <c r="F10" s="1">
        <v>7</v>
      </c>
      <c r="J10" s="5" t="s">
        <v>804</v>
      </c>
      <c r="L10" s="5" t="s">
        <v>805</v>
      </c>
    </row>
    <row r="11" spans="2:12">
      <c r="D11" s="9">
        <v>7</v>
      </c>
      <c r="J11" s="1">
        <v>0</v>
      </c>
      <c r="L11" s="1">
        <v>0</v>
      </c>
    </row>
    <row r="12" spans="2:12">
      <c r="D12" s="9">
        <v>8</v>
      </c>
      <c r="J12" s="1">
        <v>1</v>
      </c>
      <c r="L12" s="1">
        <v>1</v>
      </c>
    </row>
    <row r="13" spans="2:12">
      <c r="J13" s="1" t="str">
        <f>IF(LEFT('Intersection 1'!$J$9,1)="4",2,"")</f>
        <v/>
      </c>
      <c r="L13" s="1" t="str">
        <f>IF(LEFT('Intersection 2'!$J$9,1)="4",2,"")</f>
        <v/>
      </c>
    </row>
    <row r="15" spans="2:12">
      <c r="H15" s="5" t="s">
        <v>59</v>
      </c>
      <c r="J15" s="5" t="s">
        <v>61</v>
      </c>
    </row>
    <row r="16" spans="2:12">
      <c r="B16" s="5" t="s">
        <v>717</v>
      </c>
      <c r="D16" s="5" t="s">
        <v>43</v>
      </c>
      <c r="F16" s="5" t="s">
        <v>56</v>
      </c>
      <c r="H16" s="5" t="s">
        <v>60</v>
      </c>
      <c r="J16" s="5" t="s">
        <v>62</v>
      </c>
      <c r="L16" s="5" t="s">
        <v>66</v>
      </c>
    </row>
    <row r="17" spans="2:12">
      <c r="B17" s="21" t="s">
        <v>642</v>
      </c>
      <c r="D17" s="9" t="s">
        <v>52</v>
      </c>
      <c r="F17" s="9" t="s">
        <v>57</v>
      </c>
      <c r="H17" s="9" t="s">
        <v>57</v>
      </c>
      <c r="J17" s="9" t="s">
        <v>57</v>
      </c>
      <c r="L17" s="21" t="s">
        <v>67</v>
      </c>
    </row>
    <row r="18" spans="2:12">
      <c r="B18" s="1" t="s">
        <v>718</v>
      </c>
      <c r="D18" s="9" t="s">
        <v>53</v>
      </c>
      <c r="F18" s="9" t="s">
        <v>58</v>
      </c>
      <c r="H18" s="9" t="s">
        <v>58</v>
      </c>
      <c r="J18" s="9" t="s">
        <v>64</v>
      </c>
      <c r="L18" s="21" t="s">
        <v>68</v>
      </c>
    </row>
    <row r="19" spans="2:12">
      <c r="B19" s="1" t="s">
        <v>719</v>
      </c>
      <c r="D19" s="21" t="s">
        <v>54</v>
      </c>
      <c r="J19" s="9" t="s">
        <v>65</v>
      </c>
    </row>
    <row r="20" spans="2:12">
      <c r="B20" s="1" t="s">
        <v>720</v>
      </c>
      <c r="D20" s="9" t="s">
        <v>55</v>
      </c>
    </row>
    <row r="21" spans="2:12">
      <c r="B21" s="1" t="s">
        <v>721</v>
      </c>
    </row>
    <row r="22" spans="2:12">
      <c r="B22" s="1" t="s">
        <v>722</v>
      </c>
      <c r="F22" s="5" t="s">
        <v>45</v>
      </c>
      <c r="H22" s="5" t="s">
        <v>46</v>
      </c>
      <c r="J22" s="5" t="s">
        <v>63</v>
      </c>
    </row>
    <row r="23" spans="2:12">
      <c r="B23" s="1" t="s">
        <v>723</v>
      </c>
      <c r="F23" s="9" t="s">
        <v>57</v>
      </c>
      <c r="H23" s="9" t="s">
        <v>57</v>
      </c>
      <c r="J23" s="9" t="s">
        <v>57</v>
      </c>
    </row>
    <row r="24" spans="2:12">
      <c r="B24" s="1" t="s">
        <v>724</v>
      </c>
      <c r="F24" s="9" t="s">
        <v>58</v>
      </c>
      <c r="H24" s="9" t="s">
        <v>58</v>
      </c>
      <c r="J24" s="9" t="s">
        <v>58</v>
      </c>
    </row>
    <row r="25" spans="2:12">
      <c r="B25" s="1" t="s">
        <v>725</v>
      </c>
    </row>
    <row r="26" spans="2:12">
      <c r="B26" s="1" t="s">
        <v>726</v>
      </c>
    </row>
    <row r="27" spans="2:12">
      <c r="B27" s="1" t="s">
        <v>727</v>
      </c>
    </row>
    <row r="28" spans="2:12">
      <c r="B28" s="1" t="s">
        <v>728</v>
      </c>
      <c r="D28" s="5" t="s">
        <v>72</v>
      </c>
      <c r="F28" s="5" t="s">
        <v>76</v>
      </c>
      <c r="H28" s="5" t="s">
        <v>77</v>
      </c>
      <c r="J28" s="5" t="s">
        <v>78</v>
      </c>
      <c r="L28" s="5" t="s">
        <v>82</v>
      </c>
    </row>
    <row r="29" spans="2:12">
      <c r="B29" s="1" t="s">
        <v>729</v>
      </c>
      <c r="D29" s="21" t="s">
        <v>73</v>
      </c>
      <c r="F29" s="1">
        <v>0</v>
      </c>
      <c r="H29" s="1">
        <v>0</v>
      </c>
      <c r="J29" s="21" t="s">
        <v>57</v>
      </c>
      <c r="L29" s="21" t="s">
        <v>67</v>
      </c>
    </row>
    <row r="30" spans="2:12">
      <c r="B30" s="1" t="s">
        <v>730</v>
      </c>
      <c r="D30" s="21" t="s">
        <v>74</v>
      </c>
      <c r="F30" s="1">
        <v>1</v>
      </c>
      <c r="H30" s="1">
        <v>1</v>
      </c>
      <c r="J30" s="21" t="s">
        <v>58</v>
      </c>
      <c r="L30" s="21" t="s">
        <v>68</v>
      </c>
    </row>
    <row r="31" spans="2:12">
      <c r="B31" s="1" t="s">
        <v>731</v>
      </c>
      <c r="D31" s="21" t="s">
        <v>75</v>
      </c>
      <c r="F31" s="1">
        <v>2</v>
      </c>
      <c r="H31" s="1">
        <v>2</v>
      </c>
    </row>
    <row r="32" spans="2:12">
      <c r="B32" s="1" t="s">
        <v>732</v>
      </c>
      <c r="F32" s="1">
        <v>3</v>
      </c>
      <c r="H32" s="1">
        <v>3</v>
      </c>
    </row>
    <row r="33" spans="2:12">
      <c r="B33" s="1" t="s">
        <v>733</v>
      </c>
      <c r="F33" s="1">
        <v>4</v>
      </c>
      <c r="H33" s="1">
        <v>4</v>
      </c>
    </row>
    <row r="34" spans="2:12">
      <c r="B34" s="1" t="s">
        <v>734</v>
      </c>
    </row>
    <row r="35" spans="2:12">
      <c r="B35" s="1" t="s">
        <v>735</v>
      </c>
    </row>
    <row r="36" spans="2:12">
      <c r="B36" s="1" t="s">
        <v>736</v>
      </c>
      <c r="D36" s="5" t="s">
        <v>89</v>
      </c>
      <c r="F36" s="5" t="s">
        <v>92</v>
      </c>
      <c r="H36" s="5" t="s">
        <v>95</v>
      </c>
      <c r="J36" s="5" t="s">
        <v>102</v>
      </c>
      <c r="L36" s="5" t="s">
        <v>105</v>
      </c>
    </row>
    <row r="37" spans="2:12">
      <c r="B37" s="1" t="s">
        <v>737</v>
      </c>
      <c r="D37" s="1">
        <v>10</v>
      </c>
      <c r="F37" s="21" t="s">
        <v>90</v>
      </c>
      <c r="H37" s="21" t="s">
        <v>96</v>
      </c>
      <c r="J37" s="9">
        <v>0</v>
      </c>
      <c r="L37" s="1">
        <v>0</v>
      </c>
    </row>
    <row r="38" spans="2:12">
      <c r="B38" s="1" t="s">
        <v>738</v>
      </c>
      <c r="D38" s="1">
        <v>20</v>
      </c>
      <c r="F38" s="21" t="s">
        <v>91</v>
      </c>
      <c r="H38" s="57" t="s">
        <v>97</v>
      </c>
      <c r="J38" s="9">
        <v>1</v>
      </c>
      <c r="L38" s="1">
        <v>1</v>
      </c>
    </row>
    <row r="39" spans="2:12">
      <c r="B39" s="1" t="s">
        <v>739</v>
      </c>
      <c r="D39" s="1">
        <v>30</v>
      </c>
      <c r="F39" s="1"/>
      <c r="H39" s="28" t="s">
        <v>98</v>
      </c>
      <c r="J39" s="9">
        <v>2</v>
      </c>
      <c r="L39" s="1">
        <v>2</v>
      </c>
    </row>
    <row r="40" spans="2:12">
      <c r="B40" s="1" t="s">
        <v>740</v>
      </c>
      <c r="D40" s="1">
        <v>40</v>
      </c>
      <c r="F40" s="1"/>
      <c r="H40" s="28" t="s">
        <v>99</v>
      </c>
      <c r="J40" s="9">
        <v>3</v>
      </c>
    </row>
    <row r="41" spans="2:12">
      <c r="B41" s="1" t="s">
        <v>741</v>
      </c>
      <c r="D41" s="1">
        <v>50</v>
      </c>
      <c r="F41" s="1"/>
      <c r="H41" s="28" t="s">
        <v>100</v>
      </c>
      <c r="J41" s="9">
        <v>4</v>
      </c>
    </row>
    <row r="42" spans="2:12">
      <c r="B42" s="1" t="s">
        <v>742</v>
      </c>
      <c r="D42" s="1">
        <v>60</v>
      </c>
      <c r="F42" s="1"/>
      <c r="J42" s="9">
        <v>5</v>
      </c>
    </row>
    <row r="43" spans="2:12">
      <c r="D43" s="1">
        <v>70</v>
      </c>
      <c r="F43" s="1"/>
      <c r="J43" s="9">
        <v>6</v>
      </c>
    </row>
    <row r="44" spans="2:12">
      <c r="D44" s="1">
        <v>80</v>
      </c>
      <c r="F44" s="1"/>
      <c r="J44" s="9">
        <v>7</v>
      </c>
    </row>
    <row r="45" spans="2:12">
      <c r="D45" s="1">
        <v>90</v>
      </c>
      <c r="F45" s="1"/>
      <c r="J45" s="9">
        <v>8</v>
      </c>
    </row>
    <row r="46" spans="2:12">
      <c r="D46" s="1">
        <v>100</v>
      </c>
      <c r="J46" s="21">
        <v>9</v>
      </c>
    </row>
    <row r="47" spans="2:12">
      <c r="J47" s="21">
        <v>10</v>
      </c>
    </row>
    <row r="51" spans="4:14">
      <c r="D51" s="80" t="s">
        <v>178</v>
      </c>
    </row>
    <row r="54" spans="4:14">
      <c r="D54" s="5" t="s">
        <v>179</v>
      </c>
      <c r="F54" s="5" t="s">
        <v>182</v>
      </c>
      <c r="H54" s="5" t="s">
        <v>183</v>
      </c>
      <c r="J54" s="5" t="s">
        <v>200</v>
      </c>
      <c r="L54" s="5" t="s">
        <v>208</v>
      </c>
      <c r="N54" s="8" t="s">
        <v>343</v>
      </c>
    </row>
    <row r="55" spans="4:14">
      <c r="D55" s="21" t="s">
        <v>181</v>
      </c>
      <c r="F55" s="21" t="s">
        <v>57</v>
      </c>
      <c r="H55" s="9" t="s">
        <v>57</v>
      </c>
      <c r="J55" s="21" t="s">
        <v>184</v>
      </c>
      <c r="L55" s="1">
        <v>2</v>
      </c>
      <c r="N55" t="s">
        <v>341</v>
      </c>
    </row>
    <row r="56" spans="4:14">
      <c r="D56" s="21" t="s">
        <v>180</v>
      </c>
      <c r="F56" s="1">
        <v>10</v>
      </c>
      <c r="H56" s="9" t="s">
        <v>58</v>
      </c>
      <c r="J56" s="21" t="s">
        <v>196</v>
      </c>
      <c r="L56" s="1">
        <v>5</v>
      </c>
      <c r="N56" t="s">
        <v>342</v>
      </c>
    </row>
    <row r="57" spans="4:14">
      <c r="D57" s="21" t="s">
        <v>101</v>
      </c>
      <c r="F57" s="1">
        <v>15</v>
      </c>
      <c r="J57" s="20" t="s">
        <v>197</v>
      </c>
      <c r="L57" s="1">
        <v>10</v>
      </c>
    </row>
    <row r="58" spans="4:14">
      <c r="D58" s="21" t="s">
        <v>104</v>
      </c>
      <c r="F58" s="1">
        <v>20</v>
      </c>
      <c r="J58" s="21" t="s">
        <v>198</v>
      </c>
      <c r="L58" s="1">
        <v>15</v>
      </c>
    </row>
    <row r="59" spans="4:14">
      <c r="D59" s="21" t="s">
        <v>195</v>
      </c>
      <c r="F59" s="1">
        <v>30</v>
      </c>
      <c r="J59" s="21" t="s">
        <v>199</v>
      </c>
      <c r="L59" s="1">
        <v>20</v>
      </c>
    </row>
    <row r="60" spans="4:14">
      <c r="F60" s="1">
        <v>40</v>
      </c>
      <c r="L60" s="1">
        <v>25</v>
      </c>
    </row>
    <row r="61" spans="4:14" ht="13.8">
      <c r="F61" s="1">
        <v>50</v>
      </c>
      <c r="L61" s="21" t="s">
        <v>209</v>
      </c>
    </row>
    <row r="62" spans="4:14">
      <c r="F62" s="1">
        <v>60</v>
      </c>
    </row>
    <row r="63" spans="4:14">
      <c r="F63" s="1">
        <v>70</v>
      </c>
    </row>
    <row r="64" spans="4:14">
      <c r="F64" s="1">
        <v>80</v>
      </c>
    </row>
    <row r="65" spans="4:12">
      <c r="F65" s="1">
        <v>90</v>
      </c>
    </row>
    <row r="66" spans="4:12">
      <c r="F66" s="1">
        <v>100</v>
      </c>
    </row>
    <row r="70" spans="4:12">
      <c r="D70" s="5" t="s">
        <v>364</v>
      </c>
      <c r="F70" s="5" t="s">
        <v>474</v>
      </c>
      <c r="H70" s="5" t="s">
        <v>475</v>
      </c>
      <c r="J70" s="5" t="s">
        <v>480</v>
      </c>
      <c r="L70" s="5" t="s">
        <v>481</v>
      </c>
    </row>
    <row r="71" spans="4:12">
      <c r="D71" s="1">
        <v>0</v>
      </c>
      <c r="F71" s="21" t="s">
        <v>73</v>
      </c>
      <c r="H71" s="20" t="s">
        <v>363</v>
      </c>
      <c r="J71" s="1">
        <v>0</v>
      </c>
      <c r="L71" s="20" t="s">
        <v>482</v>
      </c>
    </row>
    <row r="72" spans="4:12">
      <c r="D72" s="1">
        <v>1</v>
      </c>
      <c r="F72" s="21" t="s">
        <v>449</v>
      </c>
      <c r="H72" s="20" t="s">
        <v>476</v>
      </c>
      <c r="J72" s="1">
        <v>1</v>
      </c>
      <c r="L72" s="20" t="s">
        <v>363</v>
      </c>
    </row>
    <row r="73" spans="4:12">
      <c r="D73" s="1">
        <v>2</v>
      </c>
      <c r="F73" s="21" t="s">
        <v>74</v>
      </c>
      <c r="H73" s="20" t="s">
        <v>477</v>
      </c>
      <c r="J73" s="1">
        <v>2</v>
      </c>
      <c r="L73" s="20" t="s">
        <v>476</v>
      </c>
    </row>
    <row r="74" spans="4:12">
      <c r="D74" s="1">
        <v>3</v>
      </c>
      <c r="F74" s="21" t="s">
        <v>75</v>
      </c>
      <c r="H74" s="20" t="s">
        <v>478</v>
      </c>
      <c r="L74" s="20" t="s">
        <v>477</v>
      </c>
    </row>
    <row r="75" spans="4:12">
      <c r="D75" s="1">
        <v>4</v>
      </c>
      <c r="L75" s="20" t="s">
        <v>478</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88"/>
  <sheetViews>
    <sheetView zoomScaleNormal="100" workbookViewId="0">
      <selection activeCell="E4" sqref="E4:G4"/>
    </sheetView>
  </sheetViews>
  <sheetFormatPr defaultRowHeight="13.2"/>
  <cols>
    <col min="1" max="1" width="13.109375" customWidth="1"/>
    <col min="2" max="2" width="14.33203125" customWidth="1"/>
    <col min="3" max="4" width="11.5546875" customWidth="1"/>
    <col min="5" max="5" width="11.109375" customWidth="1"/>
    <col min="6" max="6" width="12.33203125" customWidth="1"/>
    <col min="8" max="8" width="12.109375" customWidth="1"/>
    <col min="9" max="9" width="11" customWidth="1"/>
    <col min="11" max="11" width="11.6640625" customWidth="1"/>
    <col min="12" max="12" width="13.6640625" customWidth="1"/>
    <col min="13" max="13" width="12.33203125" customWidth="1"/>
    <col min="14" max="15" width="11.33203125" customWidth="1"/>
    <col min="16" max="16" width="24.44140625" customWidth="1"/>
    <col min="17" max="17" width="22.5546875" customWidth="1"/>
    <col min="18" max="18" width="15.88671875" customWidth="1"/>
    <col min="19" max="20" width="16.33203125" customWidth="1"/>
    <col min="21" max="21" width="15.88671875" customWidth="1"/>
    <col min="22" max="22" width="18" customWidth="1"/>
    <col min="23" max="23" width="14.6640625" customWidth="1"/>
    <col min="24" max="24" width="16.33203125" customWidth="1"/>
    <col min="25" max="25" width="14.6640625" customWidth="1"/>
    <col min="26" max="26" width="18.109375" customWidth="1"/>
    <col min="27" max="33" width="14.6640625" customWidth="1"/>
    <col min="34" max="34" width="14.44140625" customWidth="1"/>
    <col min="35" max="36" width="14.6640625" customWidth="1"/>
    <col min="37" max="37" width="11.5546875" customWidth="1"/>
    <col min="38" max="38" width="9.109375" customWidth="1"/>
    <col min="40" max="40" width="11.33203125" customWidth="1"/>
    <col min="41" max="41" width="11" customWidth="1"/>
    <col min="42" max="42" width="12" customWidth="1"/>
    <col min="43" max="43" width="13.33203125" customWidth="1"/>
    <col min="44" max="44" width="10.33203125" customWidth="1"/>
    <col min="45" max="45" width="11.6640625" customWidth="1"/>
    <col min="46" max="46" width="10.6640625" customWidth="1"/>
    <col min="47" max="47" width="13.33203125" customWidth="1"/>
    <col min="48" max="48" width="10" customWidth="1"/>
    <col min="49" max="49" width="13.33203125" customWidth="1"/>
    <col min="54" max="54" width="12.109375" customWidth="1"/>
    <col min="55" max="55" width="12.5546875" customWidth="1"/>
    <col min="56" max="57" width="12.33203125" customWidth="1"/>
    <col min="60" max="60" width="10.109375" customWidth="1"/>
  </cols>
  <sheetData>
    <row r="1" spans="1:78" ht="13.8" thickBot="1">
      <c r="AM1" s="6"/>
      <c r="AP1" s="1"/>
      <c r="AV1" s="7"/>
    </row>
    <row r="2" spans="1:78" ht="12.75" customHeight="1" thickTop="1" thickBot="1">
      <c r="A2" s="302" t="s">
        <v>165</v>
      </c>
      <c r="B2" s="358"/>
      <c r="C2" s="358"/>
      <c r="D2" s="358"/>
      <c r="E2" s="405"/>
      <c r="F2" s="405"/>
      <c r="G2" s="405"/>
      <c r="H2" s="405"/>
      <c r="I2" s="405"/>
      <c r="J2" s="405"/>
      <c r="K2" s="405"/>
      <c r="L2" s="405"/>
      <c r="M2" s="405"/>
      <c r="N2" s="405"/>
      <c r="BN2" s="5"/>
      <c r="BO2" s="5"/>
      <c r="BP2" s="5"/>
      <c r="BQ2" s="5"/>
      <c r="BV2" s="5"/>
      <c r="BW2" s="5"/>
      <c r="BX2" s="5"/>
      <c r="BY2" s="5"/>
      <c r="BZ2" s="5"/>
    </row>
    <row r="3" spans="1:78">
      <c r="A3" s="282" t="s">
        <v>0</v>
      </c>
      <c r="B3" s="442"/>
      <c r="C3" s="442"/>
      <c r="D3" s="442"/>
      <c r="E3" s="442"/>
      <c r="F3" s="442"/>
      <c r="G3" s="455"/>
      <c r="H3" s="456" t="s">
        <v>7</v>
      </c>
      <c r="I3" s="457"/>
      <c r="J3" s="457"/>
      <c r="K3" s="457"/>
      <c r="L3" s="457"/>
      <c r="M3" s="457"/>
      <c r="N3" s="457"/>
      <c r="O3" s="1"/>
      <c r="P3" s="1"/>
      <c r="T3" t="s">
        <v>539</v>
      </c>
      <c r="Y3" t="s">
        <v>540</v>
      </c>
      <c r="BN3" s="5"/>
      <c r="BO3" s="5"/>
      <c r="BP3" s="5"/>
      <c r="BQ3" s="5"/>
      <c r="BV3" s="5"/>
      <c r="BW3" s="5"/>
      <c r="BX3" s="5"/>
      <c r="BY3" s="5"/>
      <c r="BZ3" s="5"/>
    </row>
    <row r="4" spans="1:78" ht="12.75" customHeight="1">
      <c r="A4" s="462" t="s">
        <v>1</v>
      </c>
      <c r="B4" s="462"/>
      <c r="C4" s="462"/>
      <c r="D4" s="18"/>
      <c r="E4" s="463" t="s">
        <v>647</v>
      </c>
      <c r="F4" s="464"/>
      <c r="G4" s="465"/>
      <c r="H4" s="466" t="s">
        <v>8</v>
      </c>
      <c r="I4" s="462"/>
      <c r="J4" s="467"/>
      <c r="K4" s="463" t="s">
        <v>162</v>
      </c>
      <c r="L4" s="464"/>
      <c r="M4" s="464"/>
      <c r="N4" s="464"/>
      <c r="BN4" s="5"/>
      <c r="BO4" s="5"/>
      <c r="BP4" s="5"/>
      <c r="BQ4" s="5"/>
      <c r="BV4" s="8"/>
      <c r="BW4" s="8"/>
      <c r="BX4" s="5"/>
      <c r="BY4" s="5"/>
      <c r="BZ4" s="5"/>
    </row>
    <row r="5" spans="1:78" ht="15.6">
      <c r="A5" s="442" t="s">
        <v>2</v>
      </c>
      <c r="B5" s="442"/>
      <c r="C5" s="442"/>
      <c r="D5" s="14"/>
      <c r="E5" s="458" t="s">
        <v>648</v>
      </c>
      <c r="F5" s="459"/>
      <c r="G5" s="460"/>
      <c r="H5" s="461" t="s">
        <v>9</v>
      </c>
      <c r="I5" s="442"/>
      <c r="J5" s="455"/>
      <c r="K5" s="458" t="s">
        <v>163</v>
      </c>
      <c r="L5" s="459"/>
      <c r="M5" s="459"/>
      <c r="N5" s="459"/>
      <c r="T5" s="39" t="s">
        <v>350</v>
      </c>
      <c r="V5" s="3">
        <f>POWER($J$27,-0.614)*0.3566</f>
        <v>0.11868517407424205</v>
      </c>
      <c r="BN5" s="5"/>
      <c r="BO5" s="5"/>
      <c r="BP5" s="5"/>
      <c r="BQ5" s="5"/>
      <c r="BR5" s="5"/>
      <c r="BS5" s="5"/>
      <c r="BV5" s="8"/>
      <c r="BW5" s="8"/>
      <c r="BX5" s="5"/>
      <c r="BY5" s="5"/>
      <c r="BZ5" s="5"/>
    </row>
    <row r="6" spans="1:78" ht="15.6">
      <c r="A6" s="442" t="s">
        <v>3</v>
      </c>
      <c r="B6" s="442"/>
      <c r="C6" s="442"/>
      <c r="D6" s="14"/>
      <c r="E6" s="468">
        <f ca="1">TODAY()</f>
        <v>45350</v>
      </c>
      <c r="F6" s="469"/>
      <c r="G6" s="470"/>
      <c r="H6" s="461" t="s">
        <v>10</v>
      </c>
      <c r="I6" s="442"/>
      <c r="J6" s="455"/>
      <c r="K6" s="458" t="s">
        <v>164</v>
      </c>
      <c r="L6" s="459"/>
      <c r="M6" s="459"/>
      <c r="N6" s="459"/>
      <c r="T6" s="91"/>
      <c r="U6" s="91"/>
      <c r="V6" s="91"/>
      <c r="Y6" s="96" t="s">
        <v>219</v>
      </c>
      <c r="Z6" s="3">
        <f>IF('Segment Tables'!$D$147="No",(VLOOKUP($J$9,'Segment Tables'!$B$149:$R$153,4,FALSE)),(VLOOKUP($J$9,'Segment Tables'!$B$149:$R$153,9,FALSE)))</f>
        <v>0.432</v>
      </c>
      <c r="AA6" s="22"/>
      <c r="BN6" s="22"/>
      <c r="BO6" s="22"/>
      <c r="BP6" s="22"/>
      <c r="BQ6" s="22"/>
      <c r="BR6" s="22"/>
      <c r="BS6" s="22"/>
      <c r="BV6" s="9"/>
      <c r="BW6" s="1"/>
      <c r="BX6" s="22"/>
      <c r="BY6" s="22"/>
      <c r="BZ6" s="22"/>
    </row>
    <row r="7" spans="1:78">
      <c r="A7" s="473"/>
      <c r="B7" s="473"/>
      <c r="C7" s="473"/>
      <c r="D7" s="19"/>
      <c r="E7" s="461"/>
      <c r="F7" s="442"/>
      <c r="G7" s="455"/>
      <c r="H7" s="461" t="s">
        <v>11</v>
      </c>
      <c r="I7" s="442"/>
      <c r="J7" s="455"/>
      <c r="K7" s="474">
        <v>2010</v>
      </c>
      <c r="L7" s="475"/>
      <c r="M7" s="475"/>
      <c r="N7" s="475"/>
      <c r="T7" s="91"/>
      <c r="U7" s="91"/>
      <c r="V7" s="91"/>
      <c r="BN7" s="22"/>
      <c r="BO7" s="22"/>
      <c r="BP7" s="22"/>
      <c r="BQ7" s="22"/>
      <c r="BR7" s="22"/>
      <c r="BS7" s="22"/>
      <c r="BV7" s="1"/>
      <c r="BW7" s="1"/>
      <c r="BX7" s="22"/>
      <c r="BY7" s="22"/>
      <c r="BZ7" s="22"/>
    </row>
    <row r="8" spans="1:78" ht="15.6">
      <c r="A8" s="471" t="s">
        <v>4</v>
      </c>
      <c r="B8" s="449"/>
      <c r="C8" s="449"/>
      <c r="D8" s="449"/>
      <c r="E8" s="449"/>
      <c r="F8" s="449"/>
      <c r="G8" s="336"/>
      <c r="H8" s="472" t="s">
        <v>12</v>
      </c>
      <c r="I8" s="336"/>
      <c r="J8" s="472" t="s">
        <v>14</v>
      </c>
      <c r="K8" s="449"/>
      <c r="L8" s="449"/>
      <c r="M8" s="449"/>
      <c r="N8" s="449"/>
      <c r="T8" s="20" t="s">
        <v>351</v>
      </c>
      <c r="V8" s="11">
        <f>$V$5*$J$26*(IF('Segment Tables'!$D$133="No",(VLOOKUP($J$9,'Segment Tables'!$B$135:$H$139,4,FALSE)),(VLOOKUP($J$9,'Segment Tables'!$B$135:$H$139,6,FALSE))))+(1-(IF('Segment Tables'!$D$133="No",(VLOOKUP($J$9,'Segment Tables'!$B$135:$H$139,4,FALSE)),(VLOOKUP($J$9,'Segment Tables'!$B$135:$H$139,6,FALSE)))))</f>
        <v>1.0029896278518786</v>
      </c>
      <c r="Y8" s="96" t="s">
        <v>220</v>
      </c>
      <c r="Z8" s="3">
        <f>IF('Segment Tables'!$D$147="No",(VLOOKUP($J$9,'Segment Tables'!$B$149:$R$153,6,FALSE)),(VLOOKUP($J$9,'Segment Tables'!$B$149:$R$153,11,FALSE)))</f>
        <v>0.56799999999999995</v>
      </c>
      <c r="BN8" s="22"/>
      <c r="BO8" s="22"/>
      <c r="BP8" s="22"/>
      <c r="BQ8" s="22"/>
      <c r="BR8" s="22"/>
      <c r="BS8" s="22"/>
      <c r="BV8" s="9"/>
      <c r="BW8" s="1"/>
      <c r="BX8" s="22"/>
      <c r="BY8" s="22"/>
      <c r="BZ8" s="22"/>
    </row>
    <row r="9" spans="1:78">
      <c r="A9" s="448" t="s">
        <v>649</v>
      </c>
      <c r="B9" s="449"/>
      <c r="C9" s="449"/>
      <c r="D9" s="449"/>
      <c r="E9" s="449"/>
      <c r="F9" s="449"/>
      <c r="G9" s="336"/>
      <c r="H9" s="478" t="s">
        <v>13</v>
      </c>
      <c r="I9" s="467"/>
      <c r="J9" s="479" t="s">
        <v>195</v>
      </c>
      <c r="K9" s="480"/>
      <c r="L9" s="480"/>
      <c r="M9" s="480"/>
      <c r="N9" s="480"/>
      <c r="O9" t="str">
        <f>IF($J$9="2U","Two-lane undivided arterial",IF($J$9="3T","Three-lane arterial including a center two-way left-turn lane (TWLTL)", IF($J$9="4U","Four-lane undivided arterial", IF($J$9="4D", "Four-lane divided arterial (i.e., including a raised or depressed median)","Five-lane arterial including a center two-way left-turn lane (TWLTL)"))))</f>
        <v>Five-lane arterial including a center two-way left-turn lane (TWLTL)</v>
      </c>
      <c r="T9" s="5"/>
      <c r="U9" s="5"/>
      <c r="V9" s="5"/>
      <c r="BN9" s="22"/>
      <c r="BO9" s="22"/>
      <c r="BP9" s="22"/>
      <c r="BQ9" s="22"/>
      <c r="BR9" s="22"/>
      <c r="BS9" s="22"/>
      <c r="BV9" s="1"/>
      <c r="BW9" s="1"/>
      <c r="BX9" s="22"/>
      <c r="BY9" s="22"/>
      <c r="BZ9" s="22"/>
    </row>
    <row r="10" spans="1:78" ht="16.2" thickBot="1">
      <c r="A10" s="449" t="s">
        <v>5</v>
      </c>
      <c r="B10" s="449"/>
      <c r="C10" s="449"/>
      <c r="D10" s="449"/>
      <c r="E10" s="462"/>
      <c r="F10" s="462"/>
      <c r="G10" s="467"/>
      <c r="H10" s="454" t="s">
        <v>13</v>
      </c>
      <c r="I10" s="336"/>
      <c r="J10" s="476">
        <v>1.5</v>
      </c>
      <c r="K10" s="477"/>
      <c r="L10" s="477"/>
      <c r="M10" s="477"/>
      <c r="N10" s="477"/>
      <c r="T10" s="20" t="s">
        <v>352</v>
      </c>
      <c r="U10" s="5"/>
      <c r="V10" s="11">
        <f>IF(+V8&lt;1,1,V8)</f>
        <v>1.0029896278518786</v>
      </c>
      <c r="Y10" s="96" t="s">
        <v>221</v>
      </c>
      <c r="Z10" s="3">
        <f>IF('Segment Tables'!$D$147="No",(VLOOKUP($J$9,'Segment Tables'!$B$149:$R$153,7,FALSE)),(VLOOKUP($J$9,'Segment Tables'!$B$149:$R$153,12,FALSE)))</f>
        <v>0.27400000000000002</v>
      </c>
      <c r="BV10" s="9"/>
      <c r="BW10" s="1"/>
      <c r="BX10" s="22"/>
      <c r="BY10" s="22"/>
      <c r="BZ10" s="22"/>
    </row>
    <row r="11" spans="1:78" ht="16.2" thickBot="1">
      <c r="A11" s="490" t="s">
        <v>6</v>
      </c>
      <c r="B11" s="490"/>
      <c r="C11" s="490"/>
      <c r="D11" s="199" t="s">
        <v>761</v>
      </c>
      <c r="E11" s="144" t="s">
        <v>625</v>
      </c>
      <c r="F11" s="146">
        <f>IF($J$9="2U",32600,IF($J$9="3T",32900,IF($J$9="4U",40100,IF($J$9="4D",66000,53800))))</f>
        <v>53800</v>
      </c>
      <c r="G11" s="145" t="s">
        <v>763</v>
      </c>
      <c r="H11" s="481" t="s">
        <v>13</v>
      </c>
      <c r="I11" s="336"/>
      <c r="J11" s="482">
        <v>11000</v>
      </c>
      <c r="K11" s="483"/>
      <c r="L11" s="483"/>
      <c r="M11" s="483"/>
      <c r="N11" s="483"/>
      <c r="O11" s="104" t="str">
        <f>IF(J11&gt;F11,"AADT out of range","AADT OK")</f>
        <v>AADT OK</v>
      </c>
      <c r="P11" s="104"/>
      <c r="U11" s="5"/>
      <c r="V11" s="5"/>
      <c r="BV11" s="1"/>
      <c r="BW11" s="1"/>
      <c r="BX11" s="22"/>
      <c r="BY11" s="22"/>
      <c r="BZ11" s="22"/>
    </row>
    <row r="12" spans="1:78">
      <c r="A12" s="487" t="s">
        <v>743</v>
      </c>
      <c r="B12" s="488"/>
      <c r="C12" s="488"/>
      <c r="D12" s="488"/>
      <c r="E12" s="488"/>
      <c r="F12" s="488"/>
      <c r="G12" s="489"/>
      <c r="H12" s="454" t="s">
        <v>13</v>
      </c>
      <c r="I12" s="336"/>
      <c r="J12" s="485" t="s">
        <v>642</v>
      </c>
      <c r="K12" s="486"/>
      <c r="L12" s="486"/>
      <c r="M12" s="486"/>
      <c r="N12" s="486"/>
      <c r="O12" s="104"/>
      <c r="P12" s="104"/>
      <c r="U12" s="5"/>
      <c r="V12" s="5"/>
      <c r="BV12" s="1"/>
      <c r="BW12" s="1"/>
      <c r="BX12" s="22"/>
      <c r="BY12" s="22"/>
      <c r="BZ12" s="22"/>
    </row>
    <row r="13" spans="1:78">
      <c r="A13" s="449" t="s">
        <v>166</v>
      </c>
      <c r="B13" s="449"/>
      <c r="C13" s="449"/>
      <c r="D13" s="449"/>
      <c r="E13" s="473"/>
      <c r="F13" s="473"/>
      <c r="G13" s="484"/>
      <c r="H13" s="438" t="s">
        <v>184</v>
      </c>
      <c r="I13" s="336"/>
      <c r="J13" s="485" t="s">
        <v>197</v>
      </c>
      <c r="K13" s="486"/>
      <c r="L13" s="486"/>
      <c r="M13" s="486"/>
      <c r="N13" s="486"/>
      <c r="O13" s="1"/>
      <c r="P13" s="104"/>
      <c r="BV13" s="9"/>
      <c r="BW13" s="1"/>
      <c r="BX13" s="22"/>
      <c r="BY13" s="22"/>
      <c r="BZ13" s="22"/>
    </row>
    <row r="14" spans="1:78">
      <c r="A14" s="448" t="s">
        <v>167</v>
      </c>
      <c r="B14" s="449"/>
      <c r="C14" s="449"/>
      <c r="D14" s="449"/>
      <c r="E14" s="449"/>
      <c r="F14" s="449"/>
      <c r="G14" s="336"/>
      <c r="H14" s="454" t="s">
        <v>13</v>
      </c>
      <c r="I14" s="336"/>
      <c r="J14" s="433">
        <v>0.66</v>
      </c>
      <c r="K14" s="453"/>
      <c r="L14" s="453"/>
      <c r="M14" s="453"/>
      <c r="N14" s="453"/>
      <c r="P14" s="104"/>
      <c r="BV14" s="58"/>
      <c r="BW14" s="17"/>
      <c r="BX14" s="17"/>
      <c r="BY14" s="17"/>
      <c r="BZ14" s="17"/>
    </row>
    <row r="15" spans="1:78">
      <c r="A15" s="448" t="s">
        <v>83</v>
      </c>
      <c r="B15" s="449"/>
      <c r="C15" s="449"/>
      <c r="D15" s="449"/>
      <c r="E15" s="449"/>
      <c r="F15" s="449"/>
      <c r="G15" s="336"/>
      <c r="H15" s="491">
        <v>15</v>
      </c>
      <c r="I15" s="336"/>
      <c r="J15" s="492" t="s">
        <v>57</v>
      </c>
      <c r="K15" s="493"/>
      <c r="L15" s="493"/>
      <c r="M15" s="493"/>
      <c r="N15" s="493"/>
      <c r="P15" s="104"/>
      <c r="BV15" s="17"/>
      <c r="BW15" s="17"/>
      <c r="BX15" s="17"/>
      <c r="BY15" s="17"/>
      <c r="BZ15" s="17"/>
    </row>
    <row r="16" spans="1:78">
      <c r="A16" s="448" t="s">
        <v>168</v>
      </c>
      <c r="B16" s="449"/>
      <c r="C16" s="449"/>
      <c r="D16" s="449"/>
      <c r="E16" s="449"/>
      <c r="F16" s="449"/>
      <c r="G16" s="336"/>
      <c r="H16" s="438" t="s">
        <v>57</v>
      </c>
      <c r="I16" s="286"/>
      <c r="J16" s="486" t="s">
        <v>58</v>
      </c>
      <c r="K16" s="486"/>
      <c r="L16" s="486"/>
      <c r="M16" s="486"/>
      <c r="N16" s="486"/>
      <c r="O16" s="1"/>
      <c r="P16" s="104"/>
      <c r="BV16" s="17"/>
      <c r="BW16" s="17"/>
      <c r="BX16" s="17"/>
      <c r="BY16" s="17"/>
      <c r="BZ16" s="17"/>
    </row>
    <row r="17" spans="1:64">
      <c r="A17" s="448" t="s">
        <v>759</v>
      </c>
      <c r="B17" s="449"/>
      <c r="C17" s="449"/>
      <c r="D17" s="449"/>
      <c r="E17" s="449"/>
      <c r="F17" s="449"/>
      <c r="G17" s="336"/>
      <c r="H17" s="438" t="s">
        <v>57</v>
      </c>
      <c r="I17" s="286"/>
      <c r="J17" s="486" t="s">
        <v>57</v>
      </c>
      <c r="K17" s="486"/>
      <c r="L17" s="486"/>
      <c r="M17" s="486"/>
      <c r="N17" s="486"/>
      <c r="O17" s="1"/>
      <c r="P17" s="104"/>
      <c r="BL17" s="22"/>
    </row>
    <row r="18" spans="1:64">
      <c r="A18" s="448" t="s">
        <v>169</v>
      </c>
      <c r="B18" s="449"/>
      <c r="C18" s="449"/>
      <c r="D18" s="449"/>
      <c r="E18" s="449"/>
      <c r="F18" s="449"/>
      <c r="G18" s="336"/>
      <c r="H18" s="454" t="s">
        <v>13</v>
      </c>
      <c r="I18" s="336"/>
      <c r="J18" s="433">
        <v>0</v>
      </c>
      <c r="K18" s="453"/>
      <c r="L18" s="453"/>
      <c r="M18" s="453"/>
      <c r="N18" s="453"/>
    </row>
    <row r="19" spans="1:64">
      <c r="A19" s="448" t="s">
        <v>170</v>
      </c>
      <c r="B19" s="449"/>
      <c r="C19" s="449"/>
      <c r="D19" s="449"/>
      <c r="E19" s="449"/>
      <c r="F19" s="449"/>
      <c r="G19" s="336"/>
      <c r="H19" s="454" t="s">
        <v>13</v>
      </c>
      <c r="I19" s="336"/>
      <c r="J19" s="433">
        <v>10</v>
      </c>
      <c r="K19" s="453"/>
      <c r="L19" s="453"/>
      <c r="M19" s="453"/>
      <c r="N19" s="453"/>
    </row>
    <row r="20" spans="1:64">
      <c r="A20" s="448" t="s">
        <v>171</v>
      </c>
      <c r="B20" s="449"/>
      <c r="C20" s="449"/>
      <c r="D20" s="449"/>
      <c r="E20" s="449"/>
      <c r="F20" s="449"/>
      <c r="G20" s="336"/>
      <c r="H20" s="454" t="s">
        <v>13</v>
      </c>
      <c r="I20" s="336"/>
      <c r="J20" s="433">
        <v>0</v>
      </c>
      <c r="K20" s="453"/>
      <c r="L20" s="453"/>
      <c r="M20" s="453"/>
      <c r="N20" s="453"/>
    </row>
    <row r="21" spans="1:64" ht="12.75" customHeight="1">
      <c r="A21" s="448" t="s">
        <v>172</v>
      </c>
      <c r="B21" s="449"/>
      <c r="C21" s="449"/>
      <c r="D21" s="449"/>
      <c r="E21" s="449"/>
      <c r="F21" s="449"/>
      <c r="G21" s="336"/>
      <c r="H21" s="454" t="s">
        <v>13</v>
      </c>
      <c r="I21" s="336"/>
      <c r="J21" s="433">
        <v>3</v>
      </c>
      <c r="K21" s="453"/>
      <c r="L21" s="453"/>
      <c r="M21" s="453"/>
      <c r="N21" s="453"/>
    </row>
    <row r="22" spans="1:64">
      <c r="A22" s="448" t="s">
        <v>173</v>
      </c>
      <c r="B22" s="449"/>
      <c r="C22" s="449"/>
      <c r="D22" s="449"/>
      <c r="E22" s="449"/>
      <c r="F22" s="449"/>
      <c r="G22" s="336"/>
      <c r="H22" s="454" t="s">
        <v>13</v>
      </c>
      <c r="I22" s="336"/>
      <c r="J22" s="433">
        <v>2</v>
      </c>
      <c r="K22" s="453"/>
      <c r="L22" s="453"/>
      <c r="M22" s="453"/>
      <c r="N22" s="453"/>
    </row>
    <row r="23" spans="1:64">
      <c r="A23" s="448" t="s">
        <v>174</v>
      </c>
      <c r="B23" s="449"/>
      <c r="C23" s="449"/>
      <c r="D23" s="449"/>
      <c r="E23" s="449"/>
      <c r="F23" s="449"/>
      <c r="G23" s="336"/>
      <c r="H23" s="454" t="s">
        <v>13</v>
      </c>
      <c r="I23" s="336"/>
      <c r="J23" s="433">
        <v>15</v>
      </c>
      <c r="K23" s="453"/>
      <c r="L23" s="453"/>
      <c r="M23" s="453"/>
      <c r="N23" s="453"/>
    </row>
    <row r="24" spans="1:64">
      <c r="A24" s="448" t="s">
        <v>175</v>
      </c>
      <c r="B24" s="449"/>
      <c r="C24" s="449"/>
      <c r="D24" s="449"/>
      <c r="E24" s="449"/>
      <c r="F24" s="449"/>
      <c r="G24" s="336"/>
      <c r="H24" s="454" t="s">
        <v>13</v>
      </c>
      <c r="I24" s="336"/>
      <c r="J24" s="433">
        <v>0</v>
      </c>
      <c r="K24" s="453"/>
      <c r="L24" s="453"/>
      <c r="M24" s="453"/>
      <c r="N24" s="453"/>
    </row>
    <row r="25" spans="1:64">
      <c r="A25" s="448" t="s">
        <v>176</v>
      </c>
      <c r="B25" s="449"/>
      <c r="C25" s="449"/>
      <c r="D25" s="449"/>
      <c r="E25" s="449"/>
      <c r="F25" s="449"/>
      <c r="G25" s="336"/>
      <c r="H25" s="454" t="s">
        <v>13</v>
      </c>
      <c r="I25" s="336"/>
      <c r="J25" s="485" t="s">
        <v>342</v>
      </c>
      <c r="K25" s="486"/>
      <c r="L25" s="486"/>
      <c r="M25" s="486"/>
      <c r="N25" s="486"/>
    </row>
    <row r="26" spans="1:64">
      <c r="A26" s="448" t="s">
        <v>177</v>
      </c>
      <c r="B26" s="449"/>
      <c r="C26" s="449"/>
      <c r="D26" s="449"/>
      <c r="E26" s="449"/>
      <c r="F26" s="449"/>
      <c r="G26" s="336"/>
      <c r="H26" s="438">
        <v>0</v>
      </c>
      <c r="I26" s="286"/>
      <c r="J26" s="433">
        <v>10</v>
      </c>
      <c r="K26" s="434"/>
      <c r="L26" s="434"/>
      <c r="M26" s="434"/>
      <c r="N26" s="434"/>
      <c r="O26" s="1"/>
      <c r="P26" s="1"/>
    </row>
    <row r="27" spans="1:64">
      <c r="A27" s="448" t="s">
        <v>760</v>
      </c>
      <c r="B27" s="449"/>
      <c r="C27" s="449"/>
      <c r="D27" s="449"/>
      <c r="E27" s="449"/>
      <c r="F27" s="449"/>
      <c r="G27" s="336"/>
      <c r="H27" s="438">
        <v>30</v>
      </c>
      <c r="I27" s="286"/>
      <c r="J27" s="433">
        <v>6</v>
      </c>
      <c r="K27" s="434"/>
      <c r="L27" s="434"/>
      <c r="M27" s="434"/>
      <c r="N27" s="434"/>
      <c r="O27" s="1"/>
      <c r="P27" s="1"/>
    </row>
    <row r="28" spans="1:64" ht="16.2" thickBot="1">
      <c r="A28" s="450" t="s">
        <v>744</v>
      </c>
      <c r="B28" s="451"/>
      <c r="C28" s="451"/>
      <c r="D28" s="451"/>
      <c r="E28" s="451"/>
      <c r="F28" s="451"/>
      <c r="G28" s="452"/>
      <c r="H28" s="494">
        <v>1</v>
      </c>
      <c r="I28" s="495"/>
      <c r="J28" s="496">
        <v>1</v>
      </c>
      <c r="K28" s="497"/>
      <c r="L28" s="497"/>
      <c r="M28" s="497"/>
      <c r="N28" s="497"/>
    </row>
    <row r="29" spans="1:64" ht="13.8" thickTop="1">
      <c r="A29" s="90"/>
      <c r="B29" s="90"/>
      <c r="C29" s="90"/>
      <c r="D29" s="90"/>
      <c r="E29" s="90"/>
      <c r="F29" s="90"/>
      <c r="G29" s="90"/>
      <c r="H29" s="90"/>
      <c r="I29" s="90"/>
      <c r="J29" s="90"/>
      <c r="K29" s="90"/>
      <c r="L29" s="90"/>
      <c r="M29" s="90"/>
      <c r="N29" s="90"/>
    </row>
    <row r="31" spans="1:64" ht="13.8" thickBot="1"/>
    <row r="32" spans="1:64" ht="14.4" thickTop="1" thickBot="1">
      <c r="A32" s="302" t="s">
        <v>185</v>
      </c>
      <c r="B32" s="358"/>
      <c r="C32" s="358"/>
      <c r="D32" s="358"/>
      <c r="E32" s="358"/>
      <c r="F32" s="358"/>
      <c r="G32" s="358"/>
      <c r="H32" s="358"/>
      <c r="I32" s="358"/>
      <c r="J32" s="358"/>
      <c r="K32" s="358"/>
      <c r="L32" s="358"/>
      <c r="M32" s="358"/>
      <c r="N32" s="358"/>
      <c r="O32" s="26"/>
      <c r="P32" s="26"/>
    </row>
    <row r="33" spans="1:65">
      <c r="A33" s="297" t="s">
        <v>15</v>
      </c>
      <c r="B33" s="298"/>
      <c r="C33" s="349" t="s">
        <v>16</v>
      </c>
      <c r="D33" s="349"/>
      <c r="E33" s="298"/>
      <c r="F33" s="349" t="s">
        <v>17</v>
      </c>
      <c r="G33" s="298"/>
      <c r="H33" s="349" t="s">
        <v>18</v>
      </c>
      <c r="I33" s="298"/>
      <c r="J33" s="349" t="s">
        <v>19</v>
      </c>
      <c r="K33" s="298"/>
      <c r="L33" s="298"/>
      <c r="M33" s="349" t="s">
        <v>20</v>
      </c>
      <c r="N33" s="351"/>
    </row>
    <row r="34" spans="1:65">
      <c r="A34" s="446" t="s">
        <v>186</v>
      </c>
      <c r="B34" s="421"/>
      <c r="C34" s="435" t="s">
        <v>201</v>
      </c>
      <c r="D34" s="435"/>
      <c r="E34" s="421"/>
      <c r="F34" s="435" t="s">
        <v>84</v>
      </c>
      <c r="G34" s="421"/>
      <c r="H34" s="420" t="s">
        <v>28</v>
      </c>
      <c r="I34" s="421"/>
      <c r="J34" s="420" t="s">
        <v>29</v>
      </c>
      <c r="K34" s="421"/>
      <c r="L34" s="421"/>
      <c r="M34" s="435" t="s">
        <v>81</v>
      </c>
      <c r="N34" s="436"/>
      <c r="O34" s="15"/>
      <c r="P34" s="15"/>
    </row>
    <row r="35" spans="1:65">
      <c r="A35" s="447"/>
      <c r="B35" s="422"/>
      <c r="C35" s="422"/>
      <c r="D35" s="422"/>
      <c r="E35" s="422"/>
      <c r="F35" s="422"/>
      <c r="G35" s="422"/>
      <c r="H35" s="422"/>
      <c r="I35" s="422"/>
      <c r="J35" s="422"/>
      <c r="K35" s="422"/>
      <c r="L35" s="422"/>
      <c r="M35" s="422"/>
      <c r="N35" s="437"/>
      <c r="O35" s="15"/>
      <c r="P35" s="15"/>
    </row>
    <row r="36" spans="1:65">
      <c r="A36" s="445" t="s">
        <v>187</v>
      </c>
      <c r="B36" s="334"/>
      <c r="C36" s="413" t="s">
        <v>202</v>
      </c>
      <c r="D36" s="413"/>
      <c r="E36" s="334"/>
      <c r="F36" s="413" t="s">
        <v>212</v>
      </c>
      <c r="G36" s="334"/>
      <c r="H36" s="413" t="s">
        <v>214</v>
      </c>
      <c r="I36" s="334"/>
      <c r="J36" s="413" t="s">
        <v>222</v>
      </c>
      <c r="K36" s="334"/>
      <c r="L36" s="334"/>
      <c r="M36" s="413" t="s">
        <v>30</v>
      </c>
      <c r="N36" s="357"/>
    </row>
    <row r="37" spans="1:65">
      <c r="A37" s="443" t="s">
        <v>188</v>
      </c>
      <c r="B37" s="291"/>
      <c r="C37" s="444" t="s">
        <v>203</v>
      </c>
      <c r="D37" s="444"/>
      <c r="E37" s="291"/>
      <c r="F37" s="444" t="s">
        <v>595</v>
      </c>
      <c r="G37" s="334"/>
      <c r="H37" s="444" t="s">
        <v>215</v>
      </c>
      <c r="I37" s="291"/>
      <c r="J37" s="444" t="s">
        <v>223</v>
      </c>
      <c r="K37" s="334"/>
      <c r="L37" s="334"/>
      <c r="M37" s="414" t="s">
        <v>85</v>
      </c>
      <c r="N37" s="357"/>
      <c r="BL37" s="5"/>
      <c r="BM37" s="5"/>
    </row>
    <row r="38" spans="1:65" ht="13.8" thickBot="1">
      <c r="A38" s="419">
        <f>1+$J$14*(IF($J$13="None",1,(IF($J$13="Parallel (Residential)",VLOOKUP($J$9,'Segment Tables'!$T$9:$X$13,2,FALSE),(IF($J$13="Parallel (Comm/Ind)",VLOOKUP($J$9,'Segment Tables'!$T$9:$X$13,3,FALSE),(IF($J$13="Angle (Residential)",(VLOOKUP($J$9,'Segment Tables'!$T$9:$X$13,4,FALSE)),(VLOOKUP($J$9,'Segment Tables'!$T$9:$X$13,5,FALSE)))))))))-1)</f>
        <v>1.46794</v>
      </c>
      <c r="B38" s="439"/>
      <c r="C38" s="417">
        <f>$V$10</f>
        <v>1.0029896278518786</v>
      </c>
      <c r="D38" s="440"/>
      <c r="E38" s="439"/>
      <c r="F38" s="417">
        <f>IF(J15="Not Present", 1, IF(J9="2U",1,(IF(J9="4U",1,(VLOOKUP(J15,'Segment Tables'!T20:V30,3,FALSE))))))</f>
        <v>1</v>
      </c>
      <c r="G38" s="418"/>
      <c r="H38" s="417">
        <f>IF($J$16="Present",(1-($Z$10*(1-(0.72*$Z$6)-(0.83*$Z$8)))),1)</f>
        <v>0.94039951999999993</v>
      </c>
      <c r="I38" s="418"/>
      <c r="J38" s="417">
        <f>IF($J$17="Present",0.95,1)</f>
        <v>1</v>
      </c>
      <c r="K38" s="419"/>
      <c r="L38" s="418"/>
      <c r="M38" s="415">
        <f>$A$38*$C$38*$F$38*$H$38*$J$38</f>
        <v>1.3845771033703516</v>
      </c>
      <c r="N38" s="416"/>
      <c r="O38" s="1"/>
      <c r="P38" s="1"/>
      <c r="BL38" s="1"/>
      <c r="BM38" s="1"/>
    </row>
    <row r="39" spans="1:65">
      <c r="BL39" s="5"/>
    </row>
    <row r="40" spans="1:65">
      <c r="C40" s="441"/>
      <c r="D40" s="442"/>
      <c r="E40" s="442"/>
      <c r="BL40" s="5"/>
    </row>
    <row r="41" spans="1:65" ht="13.8" thickBot="1">
      <c r="H41" s="22"/>
      <c r="I41" s="22"/>
      <c r="BL41" s="8"/>
    </row>
    <row r="42" spans="1:65" ht="14.4" thickTop="1" thickBot="1">
      <c r="A42" s="302" t="s">
        <v>224</v>
      </c>
      <c r="B42" s="358"/>
      <c r="C42" s="358"/>
      <c r="D42" s="358"/>
      <c r="E42" s="358"/>
      <c r="F42" s="358"/>
      <c r="G42" s="358"/>
      <c r="H42" s="358"/>
      <c r="I42" s="358"/>
      <c r="J42" s="405"/>
      <c r="K42" s="405"/>
      <c r="L42" s="405"/>
      <c r="M42" s="405"/>
      <c r="N42" s="405"/>
      <c r="BL42" s="6"/>
    </row>
    <row r="43" spans="1:65">
      <c r="A43" s="297" t="s">
        <v>15</v>
      </c>
      <c r="B43" s="298"/>
      <c r="C43" s="288" t="s">
        <v>16</v>
      </c>
      <c r="D43" s="406"/>
      <c r="E43" s="349" t="s">
        <v>17</v>
      </c>
      <c r="F43" s="298"/>
      <c r="G43" s="349" t="s">
        <v>18</v>
      </c>
      <c r="H43" s="298"/>
      <c r="I43" s="349" t="s">
        <v>19</v>
      </c>
      <c r="J43" s="298"/>
      <c r="K43" s="2" t="s">
        <v>20</v>
      </c>
      <c r="L43" s="30" t="s">
        <v>21</v>
      </c>
      <c r="M43" s="30" t="s">
        <v>22</v>
      </c>
      <c r="N43" s="67" t="s">
        <v>23</v>
      </c>
      <c r="O43" s="28"/>
      <c r="P43" s="28"/>
    </row>
    <row r="44" spans="1:65" ht="13.2" customHeight="1">
      <c r="A44" s="430" t="s">
        <v>31</v>
      </c>
      <c r="B44" s="431"/>
      <c r="C44" s="397" t="s">
        <v>86</v>
      </c>
      <c r="D44" s="398"/>
      <c r="E44" s="399" t="s">
        <v>684</v>
      </c>
      <c r="F44" s="400"/>
      <c r="G44" s="403" t="s">
        <v>225</v>
      </c>
      <c r="H44" s="403"/>
      <c r="I44" s="338" t="s">
        <v>226</v>
      </c>
      <c r="J44" s="398"/>
      <c r="K44" s="403" t="s">
        <v>227</v>
      </c>
      <c r="L44" s="338" t="s">
        <v>33</v>
      </c>
      <c r="M44" s="338" t="s">
        <v>750</v>
      </c>
      <c r="N44" s="354" t="s">
        <v>228</v>
      </c>
      <c r="O44" s="99"/>
    </row>
    <row r="45" spans="1:65" ht="13.2" customHeight="1">
      <c r="A45" s="432"/>
      <c r="B45" s="432"/>
      <c r="C45" s="353"/>
      <c r="D45" s="353"/>
      <c r="E45" s="401"/>
      <c r="F45" s="402"/>
      <c r="G45" s="353"/>
      <c r="H45" s="353"/>
      <c r="I45" s="398"/>
      <c r="J45" s="398"/>
      <c r="K45" s="352"/>
      <c r="L45" s="352"/>
      <c r="M45" s="352"/>
      <c r="N45" s="354"/>
      <c r="O45" s="99"/>
      <c r="P45" s="99"/>
    </row>
    <row r="46" spans="1:65" ht="13.2" customHeight="1">
      <c r="A46" s="432"/>
      <c r="B46" s="432"/>
      <c r="C46" s="290" t="s">
        <v>596</v>
      </c>
      <c r="D46" s="290"/>
      <c r="E46" s="319" t="s">
        <v>596</v>
      </c>
      <c r="F46" s="408"/>
      <c r="G46" s="348" t="s">
        <v>229</v>
      </c>
      <c r="H46" s="348"/>
      <c r="I46" s="398"/>
      <c r="J46" s="398"/>
      <c r="K46" s="348" t="s">
        <v>230</v>
      </c>
      <c r="L46" s="411" t="s">
        <v>231</v>
      </c>
      <c r="M46" s="353"/>
      <c r="N46" s="319" t="s">
        <v>232</v>
      </c>
      <c r="O46" s="100"/>
      <c r="P46" s="100"/>
    </row>
    <row r="47" spans="1:65" ht="13.2" customHeight="1">
      <c r="A47" s="432"/>
      <c r="B47" s="432"/>
      <c r="C47" s="70" t="s">
        <v>87</v>
      </c>
      <c r="D47" s="70" t="s">
        <v>88</v>
      </c>
      <c r="E47" s="409" t="s">
        <v>652</v>
      </c>
      <c r="F47" s="410"/>
      <c r="G47" s="407"/>
      <c r="H47" s="407"/>
      <c r="I47" s="398"/>
      <c r="J47" s="398"/>
      <c r="K47" s="300"/>
      <c r="L47" s="352"/>
      <c r="M47" s="353"/>
      <c r="N47" s="412"/>
      <c r="O47" s="101"/>
      <c r="P47" s="101"/>
    </row>
    <row r="48" spans="1:65">
      <c r="A48" s="336" t="s">
        <v>34</v>
      </c>
      <c r="B48" s="357"/>
      <c r="C48" s="11">
        <f>IF('Segment Tables'!$D$4="No",VLOOKUP($J$9,'Segment Tables'!$B$9:$E$13,MATCH(C$47,'Segment Tables'!$B$7:$E$7,0), FALSE),VLOOKUP($J$9,'Segment Tables'!$F$9:$I$13,MATCH(C$47,'Segment Tables'!$F$7:$I$7,0), FALSE))</f>
        <v>-8.1890000000000001</v>
      </c>
      <c r="D48" s="11">
        <f>IF('Segment Tables'!$D$4="No",VLOOKUP($J$9,'Segment Tables'!$B$9:$E$13,MATCH(D$47,'Segment Tables'!$B$7:$E$7,0), FALSE),VLOOKUP($J$9,'Segment Tables'!$F$9:$I$13,MATCH(D$47,'Segment Tables'!$F$7:$I$7,0), FALSE))</f>
        <v>0.97099999999999997</v>
      </c>
      <c r="E48" s="426">
        <f>IF('Segment Tables'!$D$4="No",VLOOKUP($J$9,'Segment Tables'!$B$9:$E$13,MATCH(E$47,'Segment Tables'!$B$7:$E$7,0), FALSE),VLOOKUP($J$9,'Segment Tables'!$F$9:$I$13,MATCH(E$47,'Segment Tables'!$F$7:$I$7,0), FALSE))</f>
        <v>1.1479999999999999</v>
      </c>
      <c r="F48" s="427" t="e">
        <f>IF('Segment Tables'!$D$4="No",VLOOKUP($J$9,'Segment Tables'!$B$9:$E$13,MATCH(F$47,'Segment Tables'!$B$7:$E$7,0), FALSE),VLOOKUP($J$9,'Segment Tables'!$F$9:$I$13,MATCH(F$47,'Segment Tables'!$F$7:$I$7,0), FALSE))</f>
        <v>#N/A</v>
      </c>
      <c r="G48" s="295">
        <f>EXP($C48+($D48*LN($J$11))+LN($J$10))</f>
        <v>3.498211346067023</v>
      </c>
      <c r="H48" s="296"/>
      <c r="I48" s="295">
        <v>1</v>
      </c>
      <c r="J48" s="296"/>
      <c r="K48" s="3">
        <f>G48*I48</f>
        <v>3.498211346067023</v>
      </c>
      <c r="L48" s="184">
        <f>+M38</f>
        <v>1.3845771033703516</v>
      </c>
      <c r="M48" s="11">
        <f>$J$28*VLOOKUP(VLOOKUP($J$12,'Segment Tables'!$O$59:$P$85,MATCH("Region",'Segment Tables'!$O$59:$P$59,0),FALSE),'Segment Tables'!$K$28:$P$33,MATCH($J$9,'Segment Tables'!$K$28:$P$28,0),FALSE)</f>
        <v>1</v>
      </c>
      <c r="N48" s="185">
        <f>+K48*L48*M48</f>
        <v>4.843543332514777</v>
      </c>
    </row>
    <row r="49" spans="1:16" ht="15.6">
      <c r="A49" s="383" t="s">
        <v>35</v>
      </c>
      <c r="B49" s="383"/>
      <c r="C49" s="364" t="str">
        <f>IF('Segment Tables'!$D$4="No",VLOOKUP($J$9,'Segment Tables'!$B$15:$E$19,MATCH(C$47,'Segment Tables'!$B$7:$E$7,0), FALSE),"--")</f>
        <v>--</v>
      </c>
      <c r="D49" s="364" t="str">
        <f>IF('Segment Tables'!$D$4="No",VLOOKUP($J$9,'Segment Tables'!$B$15:$E$19,MATCH(D$47,'Segment Tables'!$B$7:$E$7,0), FALSE),"--")</f>
        <v>--</v>
      </c>
      <c r="E49" s="375" t="str">
        <f>IF('Segment Tables'!$D$4="No",VLOOKUP($J$9,'Segment Tables'!$B$15:$E$19,MATCH(E$47,'Segment Tables'!$B$7:$E$7,0), FALSE),"--")</f>
        <v>--</v>
      </c>
      <c r="F49" s="423" t="str">
        <f>IF('Segment Tables'!$D$4="No",VLOOKUP($J$9,'Segment Tables'!$B$15:$E$19,MATCH(F$47,'Segment Tables'!$B$7:$E$7,0), FALSE),"--")</f>
        <v>--</v>
      </c>
      <c r="G49" s="379">
        <f>IF('Segment Tables'!$D$4="No",EXP($C49+($D49*LN($J$11))+LN($J$10)),G48*HLOOKUP(J9,'Segment Tables'!M37:Q44,6,FALSE)/100)</f>
        <v>1.0914419399729112</v>
      </c>
      <c r="H49" s="380"/>
      <c r="I49" s="290" t="s">
        <v>233</v>
      </c>
      <c r="J49" s="291"/>
      <c r="K49" s="360">
        <f>G48*I50</f>
        <v>1.0914419399729112</v>
      </c>
      <c r="L49" s="362">
        <f>+M38</f>
        <v>1.3845771033703516</v>
      </c>
      <c r="M49" s="364">
        <f>$J$28*VLOOKUP(VLOOKUP($J$12,'Segment Tables'!$O$59:$P$85,MATCH("Region",'Segment Tables'!$O$59:$P$59,0),FALSE),'Segment Tables'!$K$28:$P$33,MATCH($J$9,'Segment Tables'!$K$28:$P$28,0),FALSE)</f>
        <v>1</v>
      </c>
      <c r="N49" s="366">
        <f>+K49*L49*M49</f>
        <v>1.5111855197446105</v>
      </c>
    </row>
    <row r="50" spans="1:16">
      <c r="A50" s="384"/>
      <c r="B50" s="384"/>
      <c r="C50" s="404"/>
      <c r="D50" s="404"/>
      <c r="E50" s="424"/>
      <c r="F50" s="425"/>
      <c r="G50" s="388"/>
      <c r="H50" s="389"/>
      <c r="I50" s="295">
        <f>G49/(G49+G51)</f>
        <v>0.312</v>
      </c>
      <c r="J50" s="296"/>
      <c r="K50" s="368"/>
      <c r="L50" s="369"/>
      <c r="M50" s="404">
        <f>$J$28*VLOOKUP(VLOOKUP($J$12,'Segment Tables'!$O$59:$P$85,MATCH("Region",'Segment Tables'!$O$59:$P$59,0),FALSE),'Segment Tables'!$K$28:$P$33,MATCH($J$9,'Segment Tables'!$K$28:$P$28,0),FALSE)</f>
        <v>1</v>
      </c>
      <c r="N50" s="370"/>
    </row>
    <row r="51" spans="1:16" ht="15.6">
      <c r="A51" s="301" t="s">
        <v>36</v>
      </c>
      <c r="B51" s="371"/>
      <c r="C51" s="364" t="str">
        <f>IF('Segment Tables'!$D$4="No",VLOOKUP($J$9,'Segment Tables'!$B$21:$E$25,MATCH(C$47,'Segment Tables'!$B$7:$E$7,0), FALSE),"--")</f>
        <v>--</v>
      </c>
      <c r="D51" s="364" t="str">
        <f>IF('Segment Tables'!$D$4="No",VLOOKUP($J$9,'Segment Tables'!$B$21:$E$25,MATCH(D$47,'Segment Tables'!$B$7:$E$7,0), FALSE),"--")</f>
        <v>--</v>
      </c>
      <c r="E51" s="375" t="str">
        <f>IF('Segment Tables'!$D$4="No",VLOOKUP($J$9,'Segment Tables'!$B$21:$E$25,MATCH(E$47,'Segment Tables'!$B$7:$E$7,0), FALSE),"--")</f>
        <v>--</v>
      </c>
      <c r="F51" s="423" t="str">
        <f>IF('Segment Tables'!$D$4="No",VLOOKUP($J$9,'Segment Tables'!$B$21:$E$25,MATCH(F$47,'Segment Tables'!$B$7:$E$7,0), FALSE),"--")</f>
        <v>--</v>
      </c>
      <c r="G51" s="379">
        <f>IF('Segment Tables'!$D$4="No",EXP($C51+($D51*LN($J$11))+LN($J$10)),G48*HLOOKUP(J9,'Segment Tables'!M37:Q44,7,FALSE)/100)</f>
        <v>2.4067694060941118</v>
      </c>
      <c r="H51" s="380"/>
      <c r="I51" s="290" t="s">
        <v>234</v>
      </c>
      <c r="J51" s="291"/>
      <c r="K51" s="360">
        <f>G48*I52</f>
        <v>2.4067694060941118</v>
      </c>
      <c r="L51" s="362">
        <f>+M38</f>
        <v>1.3845771033703516</v>
      </c>
      <c r="M51" s="364">
        <f>$J$28*VLOOKUP(VLOOKUP($J$12,'Segment Tables'!$O$59:$P$85,MATCH("Region",'Segment Tables'!$O$59:$P$59,0),FALSE),'Segment Tables'!$K$28:$P$33,MATCH($J$9,'Segment Tables'!$K$28:$P$28,0),FALSE)</f>
        <v>1</v>
      </c>
      <c r="N51" s="366">
        <f>+K51*L51*M51</f>
        <v>3.3323578127701667</v>
      </c>
    </row>
    <row r="52" spans="1:16" ht="13.8" thickBot="1">
      <c r="A52" s="372"/>
      <c r="B52" s="373"/>
      <c r="C52" s="365"/>
      <c r="D52" s="365"/>
      <c r="E52" s="428"/>
      <c r="F52" s="429"/>
      <c r="G52" s="381"/>
      <c r="H52" s="382"/>
      <c r="I52" s="305">
        <f>I48-I50</f>
        <v>0.68799999999999994</v>
      </c>
      <c r="J52" s="306"/>
      <c r="K52" s="361"/>
      <c r="L52" s="363"/>
      <c r="M52" s="365">
        <f>$J$28*VLOOKUP(VLOOKUP($J$12,'Segment Tables'!$O$59:$P$85,MATCH("Region",'Segment Tables'!$O$59:$P$59,0),FALSE),'Segment Tables'!$K$28:$P$33,MATCH($J$9,'Segment Tables'!$K$28:$P$28,0),FALSE)</f>
        <v>1</v>
      </c>
      <c r="N52" s="367"/>
    </row>
    <row r="53" spans="1:16" ht="14.25" customHeight="1">
      <c r="F53" s="32"/>
      <c r="G53" s="1"/>
      <c r="M53" s="32"/>
    </row>
    <row r="54" spans="1:16">
      <c r="C54" s="111"/>
      <c r="D54" s="1"/>
      <c r="E54" s="22"/>
      <c r="F54" s="1"/>
      <c r="J54" s="38"/>
      <c r="K54" s="1"/>
    </row>
    <row r="55" spans="1:16" ht="13.8" thickBot="1">
      <c r="C55" s="26"/>
      <c r="D55" s="38"/>
      <c r="E55" s="38"/>
      <c r="F55" s="39"/>
      <c r="G55" s="26"/>
      <c r="J55" s="1"/>
      <c r="K55" s="1"/>
      <c r="M55" s="38"/>
      <c r="N55" s="1"/>
      <c r="O55" s="1"/>
      <c r="P55" s="1"/>
    </row>
    <row r="56" spans="1:16" ht="14.4" thickTop="1" thickBot="1">
      <c r="A56" s="302" t="s">
        <v>241</v>
      </c>
      <c r="B56" s="358"/>
      <c r="C56" s="358"/>
      <c r="D56" s="358"/>
      <c r="E56" s="358"/>
      <c r="F56" s="358"/>
      <c r="G56" s="358"/>
      <c r="H56" s="358"/>
      <c r="I56" s="359"/>
      <c r="J56" s="359"/>
      <c r="K56" s="359"/>
      <c r="L56" s="359"/>
      <c r="M56" s="359"/>
      <c r="N56" s="359"/>
      <c r="O56" s="24"/>
      <c r="P56" s="24"/>
    </row>
    <row r="57" spans="1:16">
      <c r="A57" s="297" t="s">
        <v>15</v>
      </c>
      <c r="B57" s="298"/>
      <c r="C57" s="298"/>
      <c r="D57" s="349" t="s">
        <v>16</v>
      </c>
      <c r="E57" s="350"/>
      <c r="F57" s="349" t="s">
        <v>17</v>
      </c>
      <c r="G57" s="349"/>
      <c r="H57" s="287" t="s">
        <v>18</v>
      </c>
      <c r="I57" s="350"/>
      <c r="J57" s="349" t="s">
        <v>19</v>
      </c>
      <c r="K57" s="349"/>
      <c r="L57" s="287" t="s">
        <v>20</v>
      </c>
      <c r="M57" s="350"/>
      <c r="N57" s="351"/>
      <c r="O57" s="24"/>
      <c r="P57" s="24"/>
    </row>
    <row r="58" spans="1:16">
      <c r="A58" s="498" t="s">
        <v>37</v>
      </c>
      <c r="B58" s="338"/>
      <c r="C58" s="334"/>
      <c r="D58" s="338" t="s">
        <v>38</v>
      </c>
      <c r="E58" s="291"/>
      <c r="F58" s="338" t="s">
        <v>243</v>
      </c>
      <c r="G58" s="338"/>
      <c r="H58" s="338" t="s">
        <v>256</v>
      </c>
      <c r="I58" s="291"/>
      <c r="J58" s="338" t="s">
        <v>245</v>
      </c>
      <c r="K58" s="338"/>
      <c r="L58" s="289" t="s">
        <v>242</v>
      </c>
      <c r="M58" s="289"/>
      <c r="N58" s="339"/>
      <c r="O58" s="24"/>
      <c r="P58" s="24"/>
    </row>
    <row r="59" spans="1:16">
      <c r="A59" s="498"/>
      <c r="B59" s="338"/>
      <c r="C59" s="334"/>
      <c r="D59" s="291"/>
      <c r="E59" s="291"/>
      <c r="F59" s="291"/>
      <c r="G59" s="291"/>
      <c r="H59" s="291"/>
      <c r="I59" s="291"/>
      <c r="J59" s="291"/>
      <c r="K59" s="291"/>
      <c r="L59" s="340"/>
      <c r="M59" s="340"/>
      <c r="N59" s="339"/>
      <c r="O59" s="1"/>
      <c r="P59" s="1"/>
    </row>
    <row r="60" spans="1:16">
      <c r="A60" s="286"/>
      <c r="B60" s="291"/>
      <c r="C60" s="334"/>
      <c r="D60" s="291"/>
      <c r="E60" s="291"/>
      <c r="F60" s="291"/>
      <c r="G60" s="291"/>
      <c r="H60" s="291"/>
      <c r="I60" s="291"/>
      <c r="J60" s="291"/>
      <c r="K60" s="291"/>
      <c r="L60" s="340"/>
      <c r="M60" s="340"/>
      <c r="N60" s="339"/>
      <c r="O60" s="24"/>
      <c r="P60" s="24"/>
    </row>
    <row r="61" spans="1:16">
      <c r="A61" s="286"/>
      <c r="B61" s="291"/>
      <c r="C61" s="334"/>
      <c r="D61" s="348" t="s">
        <v>597</v>
      </c>
      <c r="E61" s="334"/>
      <c r="F61" s="355" t="s">
        <v>244</v>
      </c>
      <c r="G61" s="356"/>
      <c r="H61" s="348" t="s">
        <v>597</v>
      </c>
      <c r="I61" s="334"/>
      <c r="J61" s="355" t="s">
        <v>246</v>
      </c>
      <c r="K61" s="356"/>
      <c r="L61" s="355" t="s">
        <v>247</v>
      </c>
      <c r="M61" s="356"/>
      <c r="N61" s="357"/>
      <c r="O61" s="33"/>
      <c r="P61" s="33"/>
    </row>
    <row r="62" spans="1:16">
      <c r="A62" s="286"/>
      <c r="B62" s="291"/>
      <c r="C62" s="334"/>
      <c r="D62" s="291"/>
      <c r="E62" s="334"/>
      <c r="F62" s="291"/>
      <c r="G62" s="291"/>
      <c r="H62" s="291"/>
      <c r="I62" s="334"/>
      <c r="J62" s="291"/>
      <c r="K62" s="291"/>
      <c r="L62" s="291"/>
      <c r="M62" s="291"/>
      <c r="N62" s="357"/>
    </row>
    <row r="63" spans="1:16">
      <c r="A63" s="336" t="s">
        <v>34</v>
      </c>
      <c r="B63" s="334"/>
      <c r="C63" s="334"/>
      <c r="D63" s="308">
        <v>1</v>
      </c>
      <c r="E63" s="308"/>
      <c r="F63" s="295">
        <f>+N49</f>
        <v>1.5111855197446105</v>
      </c>
      <c r="G63" s="286"/>
      <c r="H63" s="308">
        <v>1</v>
      </c>
      <c r="I63" s="308"/>
      <c r="J63" s="295">
        <f>+N51</f>
        <v>3.3323578127701667</v>
      </c>
      <c r="K63" s="286"/>
      <c r="L63" s="295">
        <f>+N48</f>
        <v>4.843543332514777</v>
      </c>
      <c r="M63" s="337"/>
      <c r="N63" s="337"/>
    </row>
    <row r="64" spans="1:16" ht="15.6">
      <c r="A64" s="336"/>
      <c r="B64" s="334"/>
      <c r="C64" s="334"/>
      <c r="D64" s="334"/>
      <c r="E64" s="334"/>
      <c r="F64" s="335" t="s">
        <v>248</v>
      </c>
      <c r="G64" s="291"/>
      <c r="H64" s="334"/>
      <c r="I64" s="334"/>
      <c r="J64" s="335" t="s">
        <v>249</v>
      </c>
      <c r="K64" s="291"/>
      <c r="L64" s="335" t="s">
        <v>250</v>
      </c>
      <c r="M64" s="291"/>
      <c r="N64" s="285"/>
      <c r="O64" s="1"/>
      <c r="P64" s="1"/>
    </row>
    <row r="65" spans="1:16">
      <c r="A65" s="326" t="s">
        <v>41</v>
      </c>
      <c r="B65" s="334"/>
      <c r="C65" s="334"/>
      <c r="D65" s="295">
        <f>IF('Segment Tables'!$C$60="No",VLOOKUP($A65,'Segment Tables'!$B$62:$M$68,MATCH($J$9&amp;", FI",'Segment Tables'!$B$62:$M$62,0),FALSE),VLOOKUP($A65,'Segment Tables'!$B$71:$M$76,MATCH($J$9&amp;", FI",'Segment Tables'!$B$71:$M$71,0),FALSE))</f>
        <v>0.41200000000000003</v>
      </c>
      <c r="E65" s="296"/>
      <c r="F65" s="295">
        <f t="shared" ref="F65:F70" si="0">+$F$63*$D65</f>
        <v>0.62260843413477951</v>
      </c>
      <c r="G65" s="296"/>
      <c r="H65" s="295">
        <f>IF('Segment Tables'!$C$60="No",VLOOKUP($A65,'Segment Tables'!$B$62:$M$68,MATCH($J$9&amp;", PDO",'Segment Tables'!$B$62:$M$62,0),FALSE),VLOOKUP($A65,'Segment Tables'!$B$71:$M$76,MATCH($J$9&amp;", PDO",'Segment Tables'!$B$71:$M$71,0),FALSE))</f>
        <v>0.39100000000000001</v>
      </c>
      <c r="I65" s="296"/>
      <c r="J65" s="295">
        <f t="shared" ref="J65:J70" si="1">+$J$63*H65</f>
        <v>1.3029519047931353</v>
      </c>
      <c r="K65" s="296"/>
      <c r="L65" s="308">
        <f t="shared" ref="L65:L70" si="2">+F65+J65</f>
        <v>1.9255603389279148</v>
      </c>
      <c r="M65" s="308"/>
      <c r="N65" s="295"/>
      <c r="O65" s="1"/>
      <c r="P65" s="1"/>
    </row>
    <row r="66" spans="1:16">
      <c r="A66" s="333" t="s">
        <v>40</v>
      </c>
      <c r="B66" s="334"/>
      <c r="C66" s="334"/>
      <c r="D66" s="295">
        <f>IF('Segment Tables'!$C$60="No",VLOOKUP($A66,'Segment Tables'!$B$62:$M$68,MATCH($J$9&amp;", FI",'Segment Tables'!$B$62:$M$62,0),FALSE),VLOOKUP($A66,'Segment Tables'!$B$71:$M$76,MATCH($J$9&amp;", FI",'Segment Tables'!$B$71:$M$71,0),FALSE))</f>
        <v>9.8000000000000004E-2</v>
      </c>
      <c r="E66" s="296"/>
      <c r="F66" s="295">
        <f t="shared" si="0"/>
        <v>0.14809618093497184</v>
      </c>
      <c r="G66" s="296"/>
      <c r="H66" s="295">
        <f>IF('Segment Tables'!$C$60="No",VLOOKUP($A66,'Segment Tables'!$B$62:$M$68,MATCH($J$9&amp;", PDO",'Segment Tables'!$B$62:$M$62,0),FALSE),VLOOKUP($A66,'Segment Tables'!$B$71:$M$76,MATCH($J$9&amp;", PDO",'Segment Tables'!$B$71:$M$71,0),FALSE))</f>
        <v>2.4E-2</v>
      </c>
      <c r="I66" s="296"/>
      <c r="J66" s="295">
        <f t="shared" si="1"/>
        <v>7.9976587506484009E-2</v>
      </c>
      <c r="K66" s="296"/>
      <c r="L66" s="308">
        <f t="shared" si="2"/>
        <v>0.22807276844145585</v>
      </c>
      <c r="M66" s="308"/>
      <c r="N66" s="295"/>
      <c r="O66" s="102"/>
      <c r="P66" s="102"/>
    </row>
    <row r="67" spans="1:16">
      <c r="A67" s="333" t="s">
        <v>39</v>
      </c>
      <c r="B67" s="334"/>
      <c r="C67" s="334"/>
      <c r="D67" s="295">
        <f>IF('Segment Tables'!$C$60="No",VLOOKUP($A67,'Segment Tables'!$B$62:$M$68,MATCH($J$9&amp;", FI",'Segment Tables'!$B$62:$M$62,0),FALSE),VLOOKUP($A67,'Segment Tables'!$B$71:$M$76,MATCH($J$9&amp;", FI",'Segment Tables'!$B$71:$M$71,0),FALSE))</f>
        <v>1.2E-2</v>
      </c>
      <c r="E67" s="296"/>
      <c r="F67" s="295">
        <f t="shared" si="0"/>
        <v>1.8134226236935325E-2</v>
      </c>
      <c r="G67" s="296"/>
      <c r="H67" s="295">
        <f>IF('Segment Tables'!$C$60="No",VLOOKUP($A67,'Segment Tables'!$B$62:$M$68,MATCH($J$9&amp;", PDO",'Segment Tables'!$B$62:$M$62,0),FALSE),VLOOKUP($A67,'Segment Tables'!$B$71:$M$76,MATCH($J$9&amp;", PDO",'Segment Tables'!$B$71:$M$71,0),FALSE))</f>
        <v>1.3000000000000001E-2</v>
      </c>
      <c r="I67" s="296"/>
      <c r="J67" s="295">
        <f t="shared" si="1"/>
        <v>4.3320651566012169E-2</v>
      </c>
      <c r="K67" s="296"/>
      <c r="L67" s="308">
        <f t="shared" si="2"/>
        <v>6.1454877802947491E-2</v>
      </c>
      <c r="M67" s="308"/>
      <c r="N67" s="295"/>
      <c r="O67" s="1"/>
      <c r="P67" s="1"/>
    </row>
    <row r="68" spans="1:16">
      <c r="A68" s="333" t="str">
        <f>IF('Segment Tables'!$C$60="No","Sideswipe, same direction","Sideswipe")</f>
        <v>Sideswipe</v>
      </c>
      <c r="B68" s="334"/>
      <c r="C68" s="334"/>
      <c r="D68" s="295">
        <f>IF('Segment Tables'!$C$60="No",VLOOKUP($A68,'Segment Tables'!$B$62:$M$68,MATCH($J$9&amp;", FI",'Segment Tables'!$B$62:$M$62,0),FALSE),VLOOKUP($A68,'Segment Tables'!$B$71:$M$76,MATCH($J$9&amp;", FI",'Segment Tables'!$B$71:$M$71,0),FALSE))</f>
        <v>0.114</v>
      </c>
      <c r="E68" s="296"/>
      <c r="F68" s="295">
        <f t="shared" si="0"/>
        <v>0.17227514925088561</v>
      </c>
      <c r="G68" s="296"/>
      <c r="H68" s="295">
        <f>IF('Segment Tables'!$C$60="No",VLOOKUP($A68,'Segment Tables'!$B$62:$M$68,MATCH($J$9&amp;", PDO",'Segment Tables'!$B$62:$M$62,0),FALSE),VLOOKUP($A68,'Segment Tables'!$B$71:$M$76,MATCH($J$9&amp;", PDO",'Segment Tables'!$B$71:$M$71,0),FALSE))</f>
        <v>0.223</v>
      </c>
      <c r="I68" s="296"/>
      <c r="J68" s="295">
        <f t="shared" si="1"/>
        <v>0.74311579224774715</v>
      </c>
      <c r="K68" s="296"/>
      <c r="L68" s="308">
        <f t="shared" si="2"/>
        <v>0.91539094149863276</v>
      </c>
      <c r="M68" s="308"/>
      <c r="N68" s="295"/>
      <c r="O68" s="1"/>
      <c r="P68" s="1"/>
    </row>
    <row r="69" spans="1:16">
      <c r="A69" s="333" t="str">
        <f>IF('Segment Tables'!$C$60="No","Sideswipe, opposite direction","--")</f>
        <v>--</v>
      </c>
      <c r="B69" s="334"/>
      <c r="C69" s="334"/>
      <c r="D69" s="295" t="str">
        <f>IF('Segment Tables'!$C$60="No",VLOOKUP($A69,'Segment Tables'!$B$62:$M$68,MATCH($J$9&amp;", FI",'Segment Tables'!$B$62:$M$62,0),FALSE),"--")</f>
        <v>--</v>
      </c>
      <c r="E69" s="296"/>
      <c r="F69" s="295" t="str">
        <f>IF('Segment Tables'!$C$60="No",+$F$63*$D69,"--")</f>
        <v>--</v>
      </c>
      <c r="G69" s="296"/>
      <c r="H69" s="295" t="str">
        <f>IF('Segment Tables'!$C$60="No",VLOOKUP($A69,'Segment Tables'!$B$62:$M$68,MATCH($J$9&amp;", PDO",'Segment Tables'!$B$62:$M$62,0),FALSE),"--")</f>
        <v>--</v>
      </c>
      <c r="I69" s="296"/>
      <c r="J69" s="295" t="str">
        <f>IF('Segment Tables'!$C$60="No",+$J$63*H69,"--")</f>
        <v>--</v>
      </c>
      <c r="K69" s="296"/>
      <c r="L69" s="308" t="str">
        <f>IF('Segment Tables'!$C$60="No",+F69+J69,"--")</f>
        <v>--</v>
      </c>
      <c r="M69" s="308"/>
      <c r="N69" s="295"/>
      <c r="O69" s="103"/>
      <c r="P69" s="103"/>
    </row>
    <row r="70" spans="1:16" ht="13.8" thickBot="1">
      <c r="A70" s="303" t="s">
        <v>255</v>
      </c>
      <c r="B70" s="304"/>
      <c r="C70" s="304"/>
      <c r="D70" s="305">
        <f>IF('Segment Tables'!$C$60="No",VLOOKUP($A70,'Segment Tables'!$B$62:$M$68,MATCH($J$9&amp;", FI",'Segment Tables'!$B$62:$M$62,0),FALSE),VLOOKUP($A70,'Segment Tables'!$B$71:$M$76,MATCH($J$9&amp;", FI",'Segment Tables'!$B$71:$M$71,0),FALSE))</f>
        <v>0.36299999999999999</v>
      </c>
      <c r="E70" s="306"/>
      <c r="F70" s="305">
        <f t="shared" si="0"/>
        <v>0.54856034366729356</v>
      </c>
      <c r="G70" s="306"/>
      <c r="H70" s="305">
        <f>IF('Segment Tables'!$C$60="No",VLOOKUP($A70,'Segment Tables'!$B$62:$M$68,MATCH($J$9&amp;", PDO",'Segment Tables'!$B$62:$M$62,0),FALSE),VLOOKUP($A70,'Segment Tables'!$B$71:$M$76,MATCH($J$9&amp;", PDO",'Segment Tables'!$B$71:$M$71,0),FALSE))</f>
        <v>0.35</v>
      </c>
      <c r="I70" s="306"/>
      <c r="J70" s="305">
        <f t="shared" si="1"/>
        <v>1.1663252344695583</v>
      </c>
      <c r="K70" s="306"/>
      <c r="L70" s="307">
        <f t="shared" si="2"/>
        <v>1.7148855781368519</v>
      </c>
      <c r="M70" s="307"/>
      <c r="N70" s="305"/>
      <c r="O70" s="1"/>
      <c r="P70" s="1"/>
    </row>
    <row r="71" spans="1:16">
      <c r="C71" s="24"/>
      <c r="D71" s="24"/>
      <c r="E71" s="24"/>
      <c r="F71" s="24"/>
      <c r="G71" s="24"/>
      <c r="H71" s="24"/>
      <c r="I71" s="24"/>
      <c r="J71" s="24"/>
      <c r="K71" s="24"/>
      <c r="L71" s="24"/>
      <c r="M71" s="24"/>
      <c r="N71" s="24"/>
      <c r="O71" s="24"/>
      <c r="P71" s="24"/>
    </row>
    <row r="72" spans="1:16">
      <c r="A72" s="22"/>
      <c r="B72" s="22"/>
      <c r="C72" s="22"/>
      <c r="D72" s="38"/>
      <c r="E72" s="22"/>
      <c r="F72" s="22"/>
      <c r="G72" s="28"/>
      <c r="I72" s="22"/>
      <c r="J72" s="38"/>
      <c r="K72" s="1"/>
      <c r="L72" s="22"/>
      <c r="M72" s="38"/>
      <c r="N72" s="1"/>
      <c r="O72" s="1"/>
      <c r="P72" s="1"/>
    </row>
    <row r="73" spans="1:16" ht="13.8" thickBot="1">
      <c r="A73" s="22"/>
      <c r="B73" s="22"/>
      <c r="C73" s="22"/>
      <c r="D73" s="38"/>
      <c r="E73" s="22"/>
      <c r="F73" s="22"/>
      <c r="G73" s="28"/>
      <c r="I73" s="22"/>
      <c r="J73" s="38"/>
      <c r="K73" s="1"/>
      <c r="L73" s="22"/>
      <c r="M73" s="38"/>
      <c r="N73" s="1"/>
      <c r="O73" s="1"/>
      <c r="P73" s="1"/>
    </row>
    <row r="74" spans="1:16" ht="14.4" thickTop="1" thickBot="1">
      <c r="A74" s="302" t="s">
        <v>257</v>
      </c>
      <c r="B74" s="358"/>
      <c r="C74" s="358"/>
      <c r="D74" s="358"/>
      <c r="E74" s="358"/>
      <c r="F74" s="358"/>
      <c r="G74" s="358"/>
      <c r="H74" s="358"/>
      <c r="I74" s="358"/>
      <c r="J74" s="405"/>
      <c r="K74" s="405"/>
      <c r="L74" s="405"/>
      <c r="M74" s="405"/>
      <c r="N74" s="405"/>
      <c r="O74" s="1"/>
      <c r="P74" s="1"/>
    </row>
    <row r="75" spans="1:16" ht="13.5" customHeight="1">
      <c r="A75" s="297" t="s">
        <v>15</v>
      </c>
      <c r="B75" s="298"/>
      <c r="C75" s="288" t="s">
        <v>16</v>
      </c>
      <c r="D75" s="406"/>
      <c r="E75" s="349" t="s">
        <v>17</v>
      </c>
      <c r="F75" s="298"/>
      <c r="G75" s="349" t="s">
        <v>18</v>
      </c>
      <c r="H75" s="298"/>
      <c r="I75" s="349" t="s">
        <v>19</v>
      </c>
      <c r="J75" s="298"/>
      <c r="K75" s="2" t="s">
        <v>20</v>
      </c>
      <c r="L75" s="30" t="s">
        <v>21</v>
      </c>
      <c r="M75" s="30" t="s">
        <v>22</v>
      </c>
      <c r="N75" s="67" t="s">
        <v>23</v>
      </c>
      <c r="O75" s="1"/>
      <c r="P75" s="1"/>
    </row>
    <row r="76" spans="1:16" ht="13.2" customHeight="1">
      <c r="A76" s="341" t="s">
        <v>31</v>
      </c>
      <c r="B76" s="392"/>
      <c r="C76" s="397" t="s">
        <v>86</v>
      </c>
      <c r="D76" s="398"/>
      <c r="E76" s="399" t="s">
        <v>684</v>
      </c>
      <c r="F76" s="400"/>
      <c r="G76" s="403" t="s">
        <v>225</v>
      </c>
      <c r="H76" s="403"/>
      <c r="I76" s="338" t="s">
        <v>226</v>
      </c>
      <c r="J76" s="398"/>
      <c r="K76" s="403" t="s">
        <v>259</v>
      </c>
      <c r="L76" s="338" t="s">
        <v>33</v>
      </c>
      <c r="M76" s="338" t="s">
        <v>750</v>
      </c>
      <c r="N76" s="354" t="s">
        <v>260</v>
      </c>
      <c r="O76" s="1"/>
      <c r="P76" s="1"/>
    </row>
    <row r="77" spans="1:16" ht="13.2" customHeight="1">
      <c r="A77" s="393"/>
      <c r="B77" s="394"/>
      <c r="C77" s="353"/>
      <c r="D77" s="353"/>
      <c r="E77" s="401"/>
      <c r="F77" s="402"/>
      <c r="G77" s="353"/>
      <c r="H77" s="353"/>
      <c r="I77" s="398"/>
      <c r="J77" s="398"/>
      <c r="K77" s="352"/>
      <c r="L77" s="352"/>
      <c r="M77" s="352"/>
      <c r="N77" s="354"/>
      <c r="O77" s="1"/>
      <c r="P77" s="1"/>
    </row>
    <row r="78" spans="1:16" ht="13.2" customHeight="1">
      <c r="A78" s="393"/>
      <c r="B78" s="394"/>
      <c r="C78" s="290" t="s">
        <v>598</v>
      </c>
      <c r="D78" s="290"/>
      <c r="E78" s="319" t="s">
        <v>598</v>
      </c>
      <c r="F78" s="408"/>
      <c r="G78" s="348" t="s">
        <v>258</v>
      </c>
      <c r="H78" s="348"/>
      <c r="I78" s="398"/>
      <c r="J78" s="398"/>
      <c r="K78" s="348" t="s">
        <v>230</v>
      </c>
      <c r="L78" s="411" t="s">
        <v>231</v>
      </c>
      <c r="M78" s="353"/>
      <c r="N78" s="319" t="s">
        <v>232</v>
      </c>
      <c r="O78" s="1"/>
      <c r="P78" s="1"/>
    </row>
    <row r="79" spans="1:16" ht="13.2" customHeight="1">
      <c r="A79" s="395"/>
      <c r="B79" s="396"/>
      <c r="C79" s="70" t="s">
        <v>87</v>
      </c>
      <c r="D79" s="70" t="s">
        <v>88</v>
      </c>
      <c r="E79" s="409" t="s">
        <v>652</v>
      </c>
      <c r="F79" s="410"/>
      <c r="G79" s="407"/>
      <c r="H79" s="407"/>
      <c r="I79" s="398"/>
      <c r="J79" s="398"/>
      <c r="K79" s="300"/>
      <c r="L79" s="352"/>
      <c r="M79" s="353"/>
      <c r="N79" s="412"/>
      <c r="O79" s="1"/>
      <c r="P79" s="1"/>
    </row>
    <row r="80" spans="1:16">
      <c r="A80" s="336" t="s">
        <v>34</v>
      </c>
      <c r="B80" s="357"/>
      <c r="C80" s="11">
        <f>IF('Segment Tables'!$M$4="No",VLOOKUP($J$9,'Segment Tables'!$K$9:$N$13,MATCH(C$79,'Segment Tables'!$K$7:$N$7,0), FALSE),VLOOKUP($J$9,'Segment Tables'!$O$9:$R$13,MATCH(C$79,'Segment Tables'!$O$7:$R$7,0), FALSE))</f>
        <v>-4.5830000000000002</v>
      </c>
      <c r="D80" s="11">
        <f>IF('Segment Tables'!$M$4="No",VLOOKUP($J$9,'Segment Tables'!$K$9:$N$13,MATCH(D$79,'Segment Tables'!$K$7:$N$7,0), FALSE),VLOOKUP($J$9,'Segment Tables'!$O$9:$R$13,MATCH(D$79,'Segment Tables'!$O$7:$R$7,0), FALSE))</f>
        <v>0.501</v>
      </c>
      <c r="E80" s="390">
        <f>IF('Segment Tables'!$M$4="No",VLOOKUP($J$9,'Segment Tables'!$K$9:$N$13,MATCH(E$79,'Segment Tables'!$K$7:$N$7,0), FALSE),VLOOKUP($J$9,'Segment Tables'!$O$9:$R$13,MATCH(E$79,'Segment Tables'!$O$7:$R$7,0), FALSE))</f>
        <v>0.66400000000000003</v>
      </c>
      <c r="F80" s="391" t="e">
        <f>IF('Segment Tables'!$M$4="No",VLOOKUP($J$9,'Segment Tables'!$K$9:$N$13,MATCH(F$79,'Segment Tables'!$K$7:$N$7,0), FALSE),VLOOKUP($J$9,'Segment Tables'!$O$9:$R$13,MATCH(F$79,'Segment Tables'!$O$7:$R$7,0), FALSE))</f>
        <v>#N/A</v>
      </c>
      <c r="G80" s="295">
        <f>EXP($C80+($D80*LN($J$11))+LN($J$10))</f>
        <v>1.6235190307613869</v>
      </c>
      <c r="H80" s="296"/>
      <c r="I80" s="295">
        <v>1</v>
      </c>
      <c r="J80" s="296"/>
      <c r="K80" s="3">
        <f>$G$80*I80</f>
        <v>1.6235190307613869</v>
      </c>
      <c r="L80" s="184">
        <f>+$M$38</f>
        <v>1.3845771033703516</v>
      </c>
      <c r="M80" s="11">
        <f>$J$28*VLOOKUP(VLOOKUP($J$12,'Segment Tables'!$O$59:$P$85,MATCH("Region",'Segment Tables'!$O$59:$P$59,0),FALSE),'Segment Tables'!$K$28:$P$33,MATCH($J$9,'Segment Tables'!$K$28:$P$28,0),FALSE)</f>
        <v>1</v>
      </c>
      <c r="N80" s="185">
        <f>+K80*L80*M80</f>
        <v>2.2478872768782416</v>
      </c>
      <c r="O80" s="24"/>
      <c r="P80" s="24"/>
    </row>
    <row r="81" spans="1:16" ht="15.6">
      <c r="A81" s="383" t="s">
        <v>35</v>
      </c>
      <c r="B81" s="383"/>
      <c r="C81" s="364" t="str">
        <f>IF('Segment Tables'!$M$4="No",VLOOKUP($J$9,'Segment Tables'!$K$15:$N$19,MATCH(C$79,'Segment Tables'!$K$7:$N$7,0), FALSE),"--")</f>
        <v>--</v>
      </c>
      <c r="D81" s="364" t="str">
        <f>IF('Segment Tables'!$M$4="No",VLOOKUP($J$9,'Segment Tables'!$K$15:$N$19,MATCH(D$79,'Segment Tables'!$K$7:$N$7,0), FALSE),"--")</f>
        <v>--</v>
      </c>
      <c r="E81" s="375" t="str">
        <f>IF('Segment Tables'!$M$4="No",VLOOKUP($J$9,'Segment Tables'!$K$15:$N$19,MATCH(E$79,'Segment Tables'!$K$7:$N$7,0), FALSE),"--")</f>
        <v>--</v>
      </c>
      <c r="F81" s="376" t="str">
        <f>IF('Segment Tables'!$M$4="No",VLOOKUP($J$9,'Segment Tables'!$K$15:$N$19,MATCH(F$79,'Segment Tables'!$K$7:$N$7,0), FALSE),"--")</f>
        <v>--</v>
      </c>
      <c r="G81" s="379">
        <f>IF('Segment Tables'!$M$4="No",EXP($C81+($D81*LN($J$11))+LN($J$10)),G80*HLOOKUP(J9,'Segment Tables'!M48:Q55,6,FALSE)/100)</f>
        <v>0.68025447388902105</v>
      </c>
      <c r="H81" s="380"/>
      <c r="I81" s="290" t="s">
        <v>233</v>
      </c>
      <c r="J81" s="291"/>
      <c r="K81" s="360">
        <f>$G$80*I82</f>
        <v>0.68025447388902105</v>
      </c>
      <c r="L81" s="362">
        <f>+$M$38</f>
        <v>1.3845771033703516</v>
      </c>
      <c r="M81" s="364">
        <f>$J$28*VLOOKUP(VLOOKUP($J$12,'Segment Tables'!$O$59:$P$85,MATCH("Region",'Segment Tables'!$O$59:$P$59,0),FALSE),'Segment Tables'!$K$28:$P$33,MATCH($J$9,'Segment Tables'!$K$28:$P$28,0),FALSE)</f>
        <v>1</v>
      </c>
      <c r="N81" s="366">
        <f>+K81*L81*M81</f>
        <v>0.94186476901198324</v>
      </c>
      <c r="O81" s="24"/>
      <c r="P81" s="24"/>
    </row>
    <row r="82" spans="1:16">
      <c r="A82" s="384"/>
      <c r="B82" s="384"/>
      <c r="C82" s="385"/>
      <c r="D82" s="385"/>
      <c r="E82" s="386"/>
      <c r="F82" s="387"/>
      <c r="G82" s="388"/>
      <c r="H82" s="389"/>
      <c r="I82" s="295">
        <f>G81/(G81+G83)</f>
        <v>0.41899999999999993</v>
      </c>
      <c r="J82" s="296"/>
      <c r="K82" s="368"/>
      <c r="L82" s="369"/>
      <c r="M82" s="404">
        <f>$J$28*VLOOKUP(VLOOKUP($J$12,'Segment Tables'!$O$59:$P$85,MATCH("Region",'Segment Tables'!$O$59:$P$59,0),FALSE),'Segment Tables'!$K$28:$P$33,MATCH($J$9,'Segment Tables'!$K$28:$P$28,0),FALSE)</f>
        <v>1</v>
      </c>
      <c r="N82" s="370"/>
      <c r="O82" s="24"/>
      <c r="P82" s="24"/>
    </row>
    <row r="83" spans="1:16" ht="15.6">
      <c r="A83" s="301" t="s">
        <v>36</v>
      </c>
      <c r="B83" s="371"/>
      <c r="C83" s="364" t="str">
        <f>IF('Segment Tables'!$M$4="No",VLOOKUP($J$9,'Segment Tables'!$B$21:$E$25,MATCH(C$47,'Segment Tables'!$B$7:$E$7,0), FALSE),"--")</f>
        <v>--</v>
      </c>
      <c r="D83" s="364" t="str">
        <f>IF('Segment Tables'!$M$4="No",VLOOKUP($J$9,'Segment Tables'!$B$21:$E$25,MATCH(D$47,'Segment Tables'!$B$7:$E$7,0), FALSE),"--")</f>
        <v>--</v>
      </c>
      <c r="E83" s="375" t="str">
        <f>IF('Segment Tables'!$M$4="No",VLOOKUP($J$9,'Segment Tables'!$B$21:$E$25,MATCH(E$47,'Segment Tables'!$B$7:$E$7,0), FALSE),"--")</f>
        <v>--</v>
      </c>
      <c r="F83" s="376" t="str">
        <f>IF('Segment Tables'!$M$4="No",VLOOKUP($J$9,'Segment Tables'!$B$21:$E$25,MATCH(F$47,'Segment Tables'!$B$7:$E$7,0), FALSE),"--")</f>
        <v>--</v>
      </c>
      <c r="G83" s="379">
        <f>IF('Segment Tables'!$M$4="No",EXP($C83+($D83*LN($J$11))+LN($J$10)),G80*HLOOKUP(J9,'Segment Tables'!M48:Q55,7,FALSE)/100)</f>
        <v>0.94326455687236588</v>
      </c>
      <c r="H83" s="380"/>
      <c r="I83" s="290" t="s">
        <v>234</v>
      </c>
      <c r="J83" s="291"/>
      <c r="K83" s="360">
        <f>$G$80*I84</f>
        <v>0.94326455687236588</v>
      </c>
      <c r="L83" s="362">
        <f>+$M$38</f>
        <v>1.3845771033703516</v>
      </c>
      <c r="M83" s="364">
        <f>$J$28*VLOOKUP(VLOOKUP($J$12,'Segment Tables'!$O$59:$P$85,MATCH("Region",'Segment Tables'!$O$59:$P$59,0),FALSE),'Segment Tables'!$K$28:$P$33,MATCH($J$9,'Segment Tables'!$K$28:$P$28,0),FALSE)</f>
        <v>1</v>
      </c>
      <c r="N83" s="366">
        <f>+K83*L83*M83</f>
        <v>1.3060225078662586</v>
      </c>
      <c r="O83" s="24"/>
      <c r="P83" s="24"/>
    </row>
    <row r="84" spans="1:16" ht="13.8" thickBot="1">
      <c r="A84" s="372"/>
      <c r="B84" s="373"/>
      <c r="C84" s="374"/>
      <c r="D84" s="374"/>
      <c r="E84" s="377"/>
      <c r="F84" s="378"/>
      <c r="G84" s="381"/>
      <c r="H84" s="382"/>
      <c r="I84" s="305">
        <f>I80-I82</f>
        <v>0.58100000000000007</v>
      </c>
      <c r="J84" s="306"/>
      <c r="K84" s="361"/>
      <c r="L84" s="363"/>
      <c r="M84" s="365">
        <f>$J$28*VLOOKUP(VLOOKUP($J$12,'Segment Tables'!$O$59:$P$85,MATCH("Region",'Segment Tables'!$O$59:$P$59,0),FALSE),'Segment Tables'!$K$28:$P$33,MATCH($J$9,'Segment Tables'!$K$28:$P$28,0),FALSE)</f>
        <v>1</v>
      </c>
      <c r="N84" s="367"/>
      <c r="O84" s="24"/>
      <c r="P84" s="24"/>
    </row>
    <row r="85" spans="1:16">
      <c r="C85" s="24"/>
      <c r="D85" s="24"/>
      <c r="E85" s="24"/>
      <c r="F85" s="24"/>
      <c r="G85" s="24"/>
      <c r="H85" s="24"/>
      <c r="I85" s="24"/>
      <c r="J85" s="24"/>
      <c r="K85" s="24"/>
      <c r="L85" s="24"/>
      <c r="M85" s="24"/>
      <c r="N85" s="24"/>
      <c r="O85" s="24"/>
      <c r="P85" s="24"/>
    </row>
    <row r="86" spans="1:16">
      <c r="C86" s="24"/>
      <c r="D86" s="24"/>
      <c r="E86" s="24"/>
      <c r="F86" s="24"/>
      <c r="G86" s="24"/>
      <c r="H86" s="24"/>
      <c r="I86" s="24"/>
      <c r="J86" s="24"/>
      <c r="K86" s="24"/>
      <c r="L86" s="24"/>
      <c r="M86" s="24"/>
      <c r="N86" s="24"/>
      <c r="O86" s="24"/>
      <c r="P86" s="24"/>
    </row>
    <row r="87" spans="1:16" ht="13.8" thickBot="1">
      <c r="C87" s="24"/>
      <c r="D87" s="24"/>
      <c r="E87" s="24"/>
      <c r="F87" s="24"/>
      <c r="G87" s="24"/>
      <c r="H87" s="24"/>
      <c r="I87" s="24"/>
      <c r="J87" s="24"/>
      <c r="K87" s="24"/>
      <c r="L87" s="24"/>
      <c r="M87" s="24"/>
      <c r="N87" s="24"/>
      <c r="O87" s="24"/>
      <c r="P87" s="24"/>
    </row>
    <row r="88" spans="1:16" ht="14.4" thickTop="1" thickBot="1">
      <c r="A88" s="302" t="s">
        <v>261</v>
      </c>
      <c r="B88" s="358"/>
      <c r="C88" s="358"/>
      <c r="D88" s="358"/>
      <c r="E88" s="358"/>
      <c r="F88" s="358"/>
      <c r="G88" s="358"/>
      <c r="H88" s="358"/>
      <c r="I88" s="359"/>
      <c r="J88" s="359"/>
      <c r="K88" s="359"/>
      <c r="L88" s="359"/>
      <c r="M88" s="359"/>
      <c r="N88" s="359"/>
      <c r="O88" s="24"/>
      <c r="P88" s="24"/>
    </row>
    <row r="89" spans="1:16">
      <c r="A89" s="297" t="s">
        <v>15</v>
      </c>
      <c r="B89" s="298"/>
      <c r="C89" s="298"/>
      <c r="D89" s="349" t="s">
        <v>16</v>
      </c>
      <c r="E89" s="350"/>
      <c r="F89" s="349" t="s">
        <v>17</v>
      </c>
      <c r="G89" s="349"/>
      <c r="H89" s="287" t="s">
        <v>18</v>
      </c>
      <c r="I89" s="350"/>
      <c r="J89" s="349" t="s">
        <v>19</v>
      </c>
      <c r="K89" s="349"/>
      <c r="L89" s="287" t="s">
        <v>20</v>
      </c>
      <c r="M89" s="350"/>
      <c r="N89" s="351"/>
      <c r="O89" s="24"/>
      <c r="P89" s="24"/>
    </row>
    <row r="90" spans="1:16">
      <c r="A90" s="341" t="s">
        <v>37</v>
      </c>
      <c r="B90" s="341"/>
      <c r="C90" s="342"/>
      <c r="D90" s="338" t="s">
        <v>38</v>
      </c>
      <c r="E90" s="291"/>
      <c r="F90" s="338" t="s">
        <v>266</v>
      </c>
      <c r="G90" s="338"/>
      <c r="H90" s="338" t="s">
        <v>256</v>
      </c>
      <c r="I90" s="291"/>
      <c r="J90" s="338" t="s">
        <v>271</v>
      </c>
      <c r="K90" s="338"/>
      <c r="L90" s="289" t="s">
        <v>269</v>
      </c>
      <c r="M90" s="289"/>
      <c r="N90" s="339"/>
      <c r="O90" s="24"/>
      <c r="P90" s="24"/>
    </row>
    <row r="91" spans="1:16">
      <c r="A91" s="343"/>
      <c r="B91" s="343"/>
      <c r="C91" s="344"/>
      <c r="D91" s="291"/>
      <c r="E91" s="291"/>
      <c r="F91" s="291"/>
      <c r="G91" s="291"/>
      <c r="H91" s="291"/>
      <c r="I91" s="291"/>
      <c r="J91" s="291"/>
      <c r="K91" s="291"/>
      <c r="L91" s="340"/>
      <c r="M91" s="340"/>
      <c r="N91" s="339"/>
      <c r="O91" s="24"/>
      <c r="P91" s="24"/>
    </row>
    <row r="92" spans="1:16">
      <c r="A92" s="345"/>
      <c r="B92" s="345"/>
      <c r="C92" s="344"/>
      <c r="D92" s="291"/>
      <c r="E92" s="291"/>
      <c r="F92" s="291"/>
      <c r="G92" s="291"/>
      <c r="H92" s="291"/>
      <c r="I92" s="291"/>
      <c r="J92" s="291"/>
      <c r="K92" s="291"/>
      <c r="L92" s="340"/>
      <c r="M92" s="340"/>
      <c r="N92" s="339"/>
      <c r="O92" s="24"/>
      <c r="P92" s="24"/>
    </row>
    <row r="93" spans="1:16">
      <c r="A93" s="345"/>
      <c r="B93" s="345"/>
      <c r="C93" s="344"/>
      <c r="D93" s="348" t="s">
        <v>599</v>
      </c>
      <c r="E93" s="334"/>
      <c r="F93" s="355" t="s">
        <v>267</v>
      </c>
      <c r="G93" s="356"/>
      <c r="H93" s="348" t="s">
        <v>599</v>
      </c>
      <c r="I93" s="334"/>
      <c r="J93" s="355" t="s">
        <v>268</v>
      </c>
      <c r="K93" s="356"/>
      <c r="L93" s="355" t="s">
        <v>270</v>
      </c>
      <c r="M93" s="356"/>
      <c r="N93" s="357"/>
      <c r="O93" s="24"/>
      <c r="P93" s="24"/>
    </row>
    <row r="94" spans="1:16">
      <c r="A94" s="346"/>
      <c r="B94" s="346"/>
      <c r="C94" s="347"/>
      <c r="D94" s="291"/>
      <c r="E94" s="334"/>
      <c r="F94" s="291"/>
      <c r="G94" s="291"/>
      <c r="H94" s="291"/>
      <c r="I94" s="334"/>
      <c r="J94" s="291"/>
      <c r="K94" s="291"/>
      <c r="L94" s="291"/>
      <c r="M94" s="291"/>
      <c r="N94" s="357"/>
      <c r="O94" s="24"/>
      <c r="P94" s="24"/>
    </row>
    <row r="95" spans="1:16">
      <c r="A95" s="336" t="s">
        <v>34</v>
      </c>
      <c r="B95" s="334"/>
      <c r="C95" s="334"/>
      <c r="D95" s="308">
        <v>1</v>
      </c>
      <c r="E95" s="308"/>
      <c r="F95" s="295">
        <f>+N81</f>
        <v>0.94186476901198324</v>
      </c>
      <c r="G95" s="286"/>
      <c r="H95" s="308">
        <v>1</v>
      </c>
      <c r="I95" s="308"/>
      <c r="J95" s="295">
        <f>+N83</f>
        <v>1.3060225078662586</v>
      </c>
      <c r="K95" s="286"/>
      <c r="L95" s="295">
        <f>+N80</f>
        <v>2.2478872768782416</v>
      </c>
      <c r="M95" s="337"/>
      <c r="N95" s="337"/>
      <c r="O95" s="24"/>
      <c r="P95" s="24"/>
    </row>
    <row r="96" spans="1:16" ht="15.6">
      <c r="A96" s="336"/>
      <c r="B96" s="334"/>
      <c r="C96" s="334"/>
      <c r="D96" s="334"/>
      <c r="E96" s="334"/>
      <c r="F96" s="335" t="s">
        <v>248</v>
      </c>
      <c r="G96" s="291"/>
      <c r="H96" s="334"/>
      <c r="I96" s="334"/>
      <c r="J96" s="335" t="s">
        <v>249</v>
      </c>
      <c r="K96" s="291"/>
      <c r="L96" s="335" t="s">
        <v>250</v>
      </c>
      <c r="M96" s="291"/>
      <c r="N96" s="285"/>
      <c r="O96" s="24"/>
      <c r="P96" s="24"/>
    </row>
    <row r="97" spans="1:16">
      <c r="A97" s="326" t="s">
        <v>262</v>
      </c>
      <c r="B97" s="334"/>
      <c r="C97" s="334"/>
      <c r="D97" s="295">
        <f>IF('Segment Tables'!$C$82="No",VLOOKUP($A97,'Segment Tables'!$B$84:$M$88,MATCH($J$9&amp;", FI",'Segment Tables'!$B$84:$M$84,0),FALSE),VLOOKUP($A97,'Segment Tables'!$B$91:$M$95,MATCH($J$9&amp;", FI",'Segment Tables'!$B$91:$M$91,0),FALSE))</f>
        <v>4.8000000000000001E-2</v>
      </c>
      <c r="E97" s="296"/>
      <c r="F97" s="295">
        <f>+$F$95*$D97</f>
        <v>4.5209508912575198E-2</v>
      </c>
      <c r="G97" s="296"/>
      <c r="H97" s="295">
        <f>IF('Segment Tables'!$C$82="No",VLOOKUP($A97,'Segment Tables'!$B$84:$M$88,MATCH($J$9&amp;", PDO",'Segment Tables'!$B$84:$M$84,0),FALSE),VLOOKUP($A97,'Segment Tables'!$B$91:$M$95,MATCH($J$9&amp;", PDO",'Segment Tables'!$B$91:$M$91,0),FALSE))</f>
        <v>0.159</v>
      </c>
      <c r="I97" s="296"/>
      <c r="J97" s="295">
        <f>+$J$95*H97</f>
        <v>0.20765757875073512</v>
      </c>
      <c r="K97" s="296"/>
      <c r="L97" s="308">
        <f>+F97+J97</f>
        <v>0.25286708766331034</v>
      </c>
      <c r="M97" s="308"/>
      <c r="N97" s="295"/>
      <c r="O97" s="24"/>
      <c r="P97" s="24"/>
    </row>
    <row r="98" spans="1:16">
      <c r="A98" s="333" t="s">
        <v>263</v>
      </c>
      <c r="B98" s="334"/>
      <c r="C98" s="334"/>
      <c r="D98" s="295">
        <f>IF('Segment Tables'!$C$82="No",VLOOKUP($A98,'Segment Tables'!$B$84:$M$88,MATCH($J$9&amp;", FI",'Segment Tables'!$B$84:$M$84,0),FALSE),VLOOKUP($A98,'Segment Tables'!$B$91:$M$95,MATCH($J$9&amp;", FI",'Segment Tables'!$B$91:$M$91,0),FALSE))</f>
        <v>0.53799999999999992</v>
      </c>
      <c r="E98" s="296"/>
      <c r="F98" s="295">
        <f>+$F$95*$D98</f>
        <v>0.50672324572844696</v>
      </c>
      <c r="G98" s="296"/>
      <c r="H98" s="295">
        <f>IF('Segment Tables'!$C$82="No",VLOOKUP($A98,'Segment Tables'!$B$84:$M$88,MATCH($J$9&amp;", PDO",'Segment Tables'!$B$84:$M$84,0),FALSE),VLOOKUP($A98,'Segment Tables'!$B$91:$M$95,MATCH($J$9&amp;", PDO",'Segment Tables'!$B$91:$M$91,0),FALSE))</f>
        <v>0.67700000000000005</v>
      </c>
      <c r="I98" s="296"/>
      <c r="J98" s="295">
        <f>+$J$95*H98</f>
        <v>0.8841772378254571</v>
      </c>
      <c r="K98" s="296"/>
      <c r="L98" s="308">
        <f>+F98+J98</f>
        <v>1.3909004835539041</v>
      </c>
      <c r="M98" s="308"/>
      <c r="N98" s="295"/>
      <c r="O98" s="24"/>
      <c r="P98" s="24"/>
    </row>
    <row r="99" spans="1:16">
      <c r="A99" s="333" t="s">
        <v>264</v>
      </c>
      <c r="B99" s="334"/>
      <c r="C99" s="334"/>
      <c r="D99" s="295">
        <f>IF('Segment Tables'!$C$82="No",VLOOKUP($A99,'Segment Tables'!$B$84:$M$88,MATCH($J$9&amp;", FI",'Segment Tables'!$B$84:$M$84,0),FALSE),VLOOKUP($A99,'Segment Tables'!$B$91:$M$95,MATCH($J$9&amp;", FI",'Segment Tables'!$B$91:$M$91,0),FALSE))</f>
        <v>2.1000000000000001E-2</v>
      </c>
      <c r="E99" s="296"/>
      <c r="F99" s="295">
        <f>+$F$95*$D99</f>
        <v>1.977916014925165E-2</v>
      </c>
      <c r="G99" s="296"/>
      <c r="H99" s="295">
        <f>IF('Segment Tables'!$C$82="No",VLOOKUP($A99,'Segment Tables'!$B$84:$M$88,MATCH($J$9&amp;", PDO",'Segment Tables'!$B$84:$M$84,0),FALSE),VLOOKUP($A99,'Segment Tables'!$B$91:$M$95,MATCH($J$9&amp;", PDO",'Segment Tables'!$B$91:$M$91,0),FALSE))</f>
        <v>5.5E-2</v>
      </c>
      <c r="I99" s="296"/>
      <c r="J99" s="295">
        <f>+$J$95*H99</f>
        <v>7.1831237932644218E-2</v>
      </c>
      <c r="K99" s="296"/>
      <c r="L99" s="308">
        <f>+F99+J99</f>
        <v>9.1610398081895861E-2</v>
      </c>
      <c r="M99" s="308"/>
      <c r="N99" s="295"/>
      <c r="O99" s="24"/>
      <c r="P99" s="24"/>
    </row>
    <row r="100" spans="1:16" ht="13.8" thickBot="1">
      <c r="A100" s="303" t="s">
        <v>265</v>
      </c>
      <c r="B100" s="304"/>
      <c r="C100" s="304"/>
      <c r="D100" s="305">
        <f>IF('Segment Tables'!$C$82="No",VLOOKUP($A100,'Segment Tables'!$B$84:$M$88,MATCH($J$9&amp;", FI",'Segment Tables'!$B$84:$M$84,0),FALSE),VLOOKUP($A100,'Segment Tables'!$B$91:$M$95,MATCH($J$9&amp;", FI",'Segment Tables'!$B$91:$M$91,0),FALSE))</f>
        <v>0.39299999999999996</v>
      </c>
      <c r="E100" s="306"/>
      <c r="F100" s="305">
        <f>+$F$95*$D100</f>
        <v>0.37015285422170935</v>
      </c>
      <c r="G100" s="306"/>
      <c r="H100" s="305">
        <f>IF('Segment Tables'!$C$82="No",VLOOKUP($A100,'Segment Tables'!$B$84:$M$88,MATCH($J$9&amp;", PDO",'Segment Tables'!$B$84:$M$84,0),FALSE),VLOOKUP($A100,'Segment Tables'!$B$91:$M$95,MATCH($J$9&amp;", PDO",'Segment Tables'!$B$91:$M$91,0),FALSE))</f>
        <v>0.109</v>
      </c>
      <c r="I100" s="306"/>
      <c r="J100" s="305">
        <f>+$J$95*H100</f>
        <v>0.1423564533574222</v>
      </c>
      <c r="K100" s="306"/>
      <c r="L100" s="307">
        <f>+F100+J100</f>
        <v>0.5125093075791316</v>
      </c>
      <c r="M100" s="307"/>
      <c r="N100" s="305"/>
      <c r="O100" s="24"/>
      <c r="P100" s="24"/>
    </row>
    <row r="101" spans="1:16">
      <c r="C101" s="24"/>
      <c r="D101" s="24"/>
      <c r="E101" s="24"/>
      <c r="F101" s="24"/>
      <c r="G101" s="24"/>
      <c r="H101" s="24"/>
      <c r="I101" s="24"/>
      <c r="J101" s="24"/>
      <c r="K101" s="24"/>
      <c r="L101" s="24"/>
      <c r="M101" s="24"/>
      <c r="N101" s="24"/>
      <c r="O101" s="24"/>
      <c r="P101" s="24"/>
    </row>
    <row r="102" spans="1:16">
      <c r="C102" s="24"/>
      <c r="D102" s="24"/>
      <c r="E102" s="24"/>
      <c r="F102" s="24"/>
      <c r="G102" s="24"/>
      <c r="H102" s="24"/>
      <c r="I102" s="24"/>
      <c r="J102" s="24"/>
      <c r="K102" s="24"/>
      <c r="L102" s="24"/>
      <c r="M102" s="24"/>
      <c r="N102" s="24"/>
      <c r="O102" s="24"/>
      <c r="P102" s="24"/>
    </row>
    <row r="103" spans="1:16" ht="13.8" thickBot="1">
      <c r="C103" s="24"/>
      <c r="D103" s="24"/>
      <c r="E103" s="24"/>
      <c r="F103" s="24"/>
      <c r="G103" s="24"/>
      <c r="H103" s="24"/>
      <c r="I103" s="24"/>
      <c r="J103" s="24"/>
      <c r="K103" s="24"/>
      <c r="L103" s="24"/>
      <c r="M103" s="24"/>
      <c r="N103" s="24"/>
      <c r="O103" s="24"/>
      <c r="P103" s="24"/>
    </row>
    <row r="104" spans="1:16" ht="14.4" thickTop="1" thickBot="1">
      <c r="A104" s="302" t="s">
        <v>272</v>
      </c>
      <c r="B104" s="358"/>
      <c r="C104" s="358"/>
      <c r="D104" s="358"/>
      <c r="E104" s="358"/>
      <c r="F104" s="358"/>
      <c r="G104" s="358"/>
      <c r="H104" s="358"/>
      <c r="I104" s="359"/>
      <c r="J104" s="359"/>
      <c r="K104" s="359"/>
      <c r="L104" s="359"/>
      <c r="M104" s="359"/>
      <c r="N104" s="359"/>
      <c r="O104" s="24"/>
      <c r="P104" s="24"/>
    </row>
    <row r="105" spans="1:16">
      <c r="A105" s="513" t="s">
        <v>15</v>
      </c>
      <c r="B105" s="514"/>
      <c r="C105" s="514"/>
      <c r="D105" s="515" t="s">
        <v>16</v>
      </c>
      <c r="E105" s="516"/>
      <c r="F105" s="517" t="s">
        <v>17</v>
      </c>
      <c r="G105" s="516"/>
      <c r="H105" s="517" t="s">
        <v>18</v>
      </c>
      <c r="I105" s="523"/>
      <c r="J105" s="517" t="s">
        <v>19</v>
      </c>
      <c r="K105" s="523"/>
      <c r="L105" s="523"/>
      <c r="M105" s="517" t="s">
        <v>20</v>
      </c>
      <c r="N105" s="516"/>
      <c r="O105" s="24"/>
      <c r="P105" s="24"/>
    </row>
    <row r="106" spans="1:16">
      <c r="A106" s="506" t="s">
        <v>273</v>
      </c>
      <c r="B106" s="507"/>
      <c r="C106" s="507"/>
      <c r="D106" s="502" t="s">
        <v>278</v>
      </c>
      <c r="E106" s="502"/>
      <c r="F106" s="502" t="s">
        <v>276</v>
      </c>
      <c r="G106" s="502"/>
      <c r="H106" s="502" t="s">
        <v>275</v>
      </c>
      <c r="I106" s="502"/>
      <c r="J106" s="502" t="s">
        <v>277</v>
      </c>
      <c r="K106" s="502"/>
      <c r="L106" s="502"/>
      <c r="M106" s="502" t="s">
        <v>274</v>
      </c>
      <c r="N106" s="313"/>
      <c r="O106" s="33"/>
      <c r="P106" s="33"/>
    </row>
    <row r="107" spans="1:16">
      <c r="A107" s="508"/>
      <c r="B107" s="509"/>
      <c r="C107" s="509"/>
      <c r="D107" s="503"/>
      <c r="E107" s="503"/>
      <c r="F107" s="522"/>
      <c r="G107" s="522"/>
      <c r="H107" s="522"/>
      <c r="I107" s="522"/>
      <c r="J107" s="522"/>
      <c r="K107" s="522"/>
      <c r="L107" s="522"/>
      <c r="M107" s="522"/>
      <c r="N107" s="315"/>
    </row>
    <row r="108" spans="1:16">
      <c r="A108" s="508"/>
      <c r="B108" s="509"/>
      <c r="C108" s="509"/>
      <c r="D108" s="503"/>
      <c r="E108" s="503"/>
      <c r="F108" s="499" t="s">
        <v>600</v>
      </c>
      <c r="G108" s="500"/>
      <c r="H108" s="499" t="s">
        <v>600</v>
      </c>
      <c r="I108" s="500"/>
      <c r="J108" s="504" t="s">
        <v>279</v>
      </c>
      <c r="K108" s="504"/>
      <c r="L108" s="504"/>
      <c r="M108" s="518" t="s">
        <v>600</v>
      </c>
      <c r="N108" s="519"/>
    </row>
    <row r="109" spans="1:16" ht="15.6">
      <c r="A109" s="510"/>
      <c r="B109" s="511"/>
      <c r="C109" s="511"/>
      <c r="D109" s="501"/>
      <c r="E109" s="501"/>
      <c r="F109" s="501"/>
      <c r="G109" s="501"/>
      <c r="H109" s="501"/>
      <c r="I109" s="501"/>
      <c r="J109" s="524" t="s">
        <v>280</v>
      </c>
      <c r="K109" s="524"/>
      <c r="L109" s="524"/>
      <c r="M109" s="520"/>
      <c r="N109" s="521"/>
      <c r="O109" s="25"/>
      <c r="P109" s="25"/>
    </row>
    <row r="110" spans="1:16">
      <c r="A110" s="326" t="s">
        <v>281</v>
      </c>
      <c r="B110" s="512"/>
      <c r="C110" s="512"/>
      <c r="D110" s="329">
        <f t="shared" ref="D110:D116" si="3">+J18</f>
        <v>0</v>
      </c>
      <c r="E110" s="329"/>
      <c r="F110" s="308">
        <f>HLOOKUP($J$9,'Segment Tables'!$D$31:$H$39,3,FALSE)</f>
        <v>0.16500000000000001</v>
      </c>
      <c r="G110" s="308"/>
      <c r="H110" s="308">
        <f>HLOOKUP($J$9,'Segment Tables'!$D$31:$H$47,11,FALSE)</f>
        <v>1.1719999999999999</v>
      </c>
      <c r="I110" s="308"/>
      <c r="J110" s="505">
        <f>POWER(($J$11/15000),H110)*D110*F110</f>
        <v>0</v>
      </c>
      <c r="K110" s="308"/>
      <c r="L110" s="308"/>
      <c r="M110" s="526" t="s">
        <v>13</v>
      </c>
      <c r="N110" s="527"/>
      <c r="O110" s="1"/>
      <c r="P110" s="1"/>
    </row>
    <row r="111" spans="1:16">
      <c r="A111" s="330" t="s">
        <v>282</v>
      </c>
      <c r="B111" s="331"/>
      <c r="C111" s="331"/>
      <c r="D111" s="329">
        <f t="shared" si="3"/>
        <v>10</v>
      </c>
      <c r="E111" s="329"/>
      <c r="F111" s="308">
        <f>HLOOKUP($J$9,'Segment Tables'!$D$31:$H$39,4,FALSE)</f>
        <v>5.2999999999999999E-2</v>
      </c>
      <c r="G111" s="308"/>
      <c r="H111" s="308">
        <f>HLOOKUP($J$9,'Segment Tables'!$D$31:$H$47,11,FALSE)</f>
        <v>1.1719999999999999</v>
      </c>
      <c r="I111" s="308"/>
      <c r="J111" s="505">
        <f t="shared" ref="J111:J116" si="4">POWER(($J$11/15000),H111)*D111*F111</f>
        <v>0.36847594471629885</v>
      </c>
      <c r="K111" s="308"/>
      <c r="L111" s="308"/>
      <c r="M111" s="528"/>
      <c r="N111" s="529"/>
      <c r="O111" s="5"/>
      <c r="P111" s="5"/>
    </row>
    <row r="112" spans="1:16">
      <c r="A112" s="330" t="s">
        <v>283</v>
      </c>
      <c r="B112" s="331"/>
      <c r="C112" s="331"/>
      <c r="D112" s="329">
        <f t="shared" si="3"/>
        <v>0</v>
      </c>
      <c r="E112" s="329"/>
      <c r="F112" s="308">
        <f>HLOOKUP($J$9,'Segment Tables'!$D$31:$H$39,5,FALSE)</f>
        <v>0.18099999999999999</v>
      </c>
      <c r="G112" s="308"/>
      <c r="H112" s="308">
        <f>HLOOKUP($J$9,'Segment Tables'!$D$31:$H$47,11,FALSE)</f>
        <v>1.1719999999999999</v>
      </c>
      <c r="I112" s="308"/>
      <c r="J112" s="505">
        <f t="shared" si="4"/>
        <v>0</v>
      </c>
      <c r="K112" s="308"/>
      <c r="L112" s="308"/>
      <c r="M112" s="528"/>
      <c r="N112" s="529"/>
      <c r="O112" s="1"/>
      <c r="P112" s="1"/>
    </row>
    <row r="113" spans="1:16">
      <c r="A113" s="326" t="s">
        <v>284</v>
      </c>
      <c r="B113" s="327"/>
      <c r="C113" s="327"/>
      <c r="D113" s="329">
        <f t="shared" si="3"/>
        <v>3</v>
      </c>
      <c r="E113" s="329"/>
      <c r="F113" s="308">
        <f>HLOOKUP($J$9,'Segment Tables'!$D$31:$H$39,6,FALSE)</f>
        <v>2.4E-2</v>
      </c>
      <c r="G113" s="308"/>
      <c r="H113" s="308">
        <f>HLOOKUP($J$9,'Segment Tables'!$D$31:$H$47,11,FALSE)</f>
        <v>1.1719999999999999</v>
      </c>
      <c r="I113" s="308"/>
      <c r="J113" s="505">
        <f t="shared" si="4"/>
        <v>5.0057109470893438E-2</v>
      </c>
      <c r="K113" s="308"/>
      <c r="L113" s="308"/>
      <c r="M113" s="528"/>
      <c r="N113" s="529"/>
      <c r="O113" s="10"/>
      <c r="P113" s="10"/>
    </row>
    <row r="114" spans="1:16">
      <c r="A114" s="326" t="s">
        <v>285</v>
      </c>
      <c r="B114" s="327"/>
      <c r="C114" s="327"/>
      <c r="D114" s="329">
        <f t="shared" si="3"/>
        <v>2</v>
      </c>
      <c r="E114" s="329"/>
      <c r="F114" s="308">
        <f>HLOOKUP($J$9,'Segment Tables'!$D$31:$H$39,7,FALSE)</f>
        <v>8.6999999999999994E-2</v>
      </c>
      <c r="G114" s="308"/>
      <c r="H114" s="308">
        <f>HLOOKUP($J$9,'Segment Tables'!$D$31:$H$47,11,FALSE)</f>
        <v>1.1719999999999999</v>
      </c>
      <c r="I114" s="308"/>
      <c r="J114" s="505">
        <f t="shared" si="4"/>
        <v>0.12097134788799246</v>
      </c>
      <c r="K114" s="308"/>
      <c r="L114" s="308"/>
      <c r="M114" s="528"/>
      <c r="N114" s="529"/>
      <c r="O114" s="10"/>
      <c r="P114" s="10"/>
    </row>
    <row r="115" spans="1:16">
      <c r="A115" s="326" t="s">
        <v>286</v>
      </c>
      <c r="B115" s="327"/>
      <c r="C115" s="327"/>
      <c r="D115" s="329">
        <f t="shared" si="3"/>
        <v>15</v>
      </c>
      <c r="E115" s="329"/>
      <c r="F115" s="308">
        <f>HLOOKUP($J$9,'Segment Tables'!$D$31:$H$39,8,FALSE)</f>
        <v>1.6E-2</v>
      </c>
      <c r="G115" s="308"/>
      <c r="H115" s="308">
        <f>HLOOKUP($J$9,'Segment Tables'!$D$31:$H$47,11,FALSE)</f>
        <v>1.1719999999999999</v>
      </c>
      <c r="I115" s="308"/>
      <c r="J115" s="505">
        <f t="shared" si="4"/>
        <v>0.16685703156964479</v>
      </c>
      <c r="K115" s="308"/>
      <c r="L115" s="308"/>
      <c r="M115" s="528"/>
      <c r="N115" s="529"/>
      <c r="O115" s="10"/>
      <c r="P115" s="10"/>
    </row>
    <row r="116" spans="1:16">
      <c r="A116" s="326" t="s">
        <v>94</v>
      </c>
      <c r="B116" s="327"/>
      <c r="C116" s="327"/>
      <c r="D116" s="329">
        <f t="shared" si="3"/>
        <v>0</v>
      </c>
      <c r="E116" s="329"/>
      <c r="F116" s="308">
        <f>HLOOKUP($J$9,'Segment Tables'!$D$31:$H$39,9,FALSE)</f>
        <v>2.7E-2</v>
      </c>
      <c r="G116" s="308"/>
      <c r="H116" s="308">
        <f>HLOOKUP($J$9,'Segment Tables'!$D$31:$H$47,11,FALSE)</f>
        <v>1.1719999999999999</v>
      </c>
      <c r="I116" s="308"/>
      <c r="J116" s="505">
        <f t="shared" si="4"/>
        <v>0</v>
      </c>
      <c r="K116" s="308"/>
      <c r="L116" s="308"/>
      <c r="M116" s="530"/>
      <c r="N116" s="531"/>
      <c r="O116" s="10"/>
      <c r="P116" s="10"/>
    </row>
    <row r="117" spans="1:16" ht="13.8" thickBot="1">
      <c r="A117" s="303" t="s">
        <v>34</v>
      </c>
      <c r="B117" s="328"/>
      <c r="C117" s="328"/>
      <c r="D117" s="283" t="s">
        <v>13</v>
      </c>
      <c r="E117" s="332"/>
      <c r="F117" s="283" t="s">
        <v>13</v>
      </c>
      <c r="G117" s="332"/>
      <c r="H117" s="283" t="s">
        <v>13</v>
      </c>
      <c r="I117" s="332"/>
      <c r="J117" s="307">
        <f>SUM(J110:L116)</f>
        <v>0.70636143364482951</v>
      </c>
      <c r="K117" s="525"/>
      <c r="L117" s="525"/>
      <c r="M117" s="321">
        <f>HLOOKUP($J$9,'Segment Tables'!$D$31:$H$50,IF('Segment Tables'!$D$29="No",13,20),FALSE)</f>
        <v>1.18</v>
      </c>
      <c r="N117" s="417"/>
      <c r="O117" s="33"/>
      <c r="P117" s="33"/>
    </row>
    <row r="120" spans="1:16" ht="13.8" thickBot="1"/>
    <row r="121" spans="1:16" ht="14.4" thickTop="1" thickBot="1">
      <c r="A121" s="302" t="s">
        <v>287</v>
      </c>
      <c r="B121" s="358"/>
      <c r="C121" s="358"/>
      <c r="D121" s="358"/>
      <c r="E121" s="358"/>
      <c r="F121" s="358"/>
      <c r="G121" s="358"/>
      <c r="H121" s="358"/>
      <c r="I121" s="359"/>
      <c r="J121" s="359"/>
      <c r="K121" s="359"/>
      <c r="L121" s="359"/>
      <c r="M121" s="359"/>
      <c r="N121" s="359"/>
    </row>
    <row r="122" spans="1:16">
      <c r="A122" s="297" t="s">
        <v>15</v>
      </c>
      <c r="B122" s="298"/>
      <c r="C122" s="298"/>
      <c r="D122" s="287" t="s">
        <v>16</v>
      </c>
      <c r="E122" s="287"/>
      <c r="F122" s="287" t="s">
        <v>17</v>
      </c>
      <c r="G122" s="287"/>
      <c r="H122" s="30" t="s">
        <v>18</v>
      </c>
      <c r="I122" s="287" t="s">
        <v>19</v>
      </c>
      <c r="J122" s="287"/>
      <c r="K122" s="287" t="s">
        <v>20</v>
      </c>
      <c r="L122" s="287"/>
      <c r="M122" s="287" t="s">
        <v>21</v>
      </c>
      <c r="N122" s="288"/>
    </row>
    <row r="123" spans="1:16">
      <c r="A123" s="299" t="s">
        <v>31</v>
      </c>
      <c r="B123" s="300"/>
      <c r="C123" s="300"/>
      <c r="D123" s="534" t="s">
        <v>277</v>
      </c>
      <c r="E123" s="534"/>
      <c r="F123" s="289" t="s">
        <v>288</v>
      </c>
      <c r="G123" s="289"/>
      <c r="H123" s="289" t="s">
        <v>289</v>
      </c>
      <c r="I123" s="289" t="s">
        <v>33</v>
      </c>
      <c r="J123" s="289"/>
      <c r="K123" s="289" t="s">
        <v>750</v>
      </c>
      <c r="L123" s="289"/>
      <c r="M123" s="289" t="s">
        <v>290</v>
      </c>
      <c r="N123" s="533"/>
    </row>
    <row r="124" spans="1:16">
      <c r="A124" s="301"/>
      <c r="B124" s="300"/>
      <c r="C124" s="300"/>
      <c r="D124" s="534"/>
      <c r="E124" s="534"/>
      <c r="F124" s="289"/>
      <c r="G124" s="289"/>
      <c r="H124" s="289"/>
      <c r="I124" s="289"/>
      <c r="J124" s="289"/>
      <c r="K124" s="289"/>
      <c r="L124" s="289"/>
      <c r="M124" s="289"/>
      <c r="N124" s="533"/>
    </row>
    <row r="125" spans="1:16">
      <c r="A125" s="301"/>
      <c r="B125" s="300"/>
      <c r="C125" s="300"/>
      <c r="D125" s="348" t="s">
        <v>291</v>
      </c>
      <c r="E125" s="532"/>
      <c r="F125" s="348" t="s">
        <v>600</v>
      </c>
      <c r="G125" s="532"/>
      <c r="H125" s="348" t="s">
        <v>292</v>
      </c>
      <c r="I125" s="348" t="s">
        <v>231</v>
      </c>
      <c r="J125" s="532"/>
      <c r="K125" s="532"/>
      <c r="L125" s="532"/>
      <c r="M125" s="348" t="s">
        <v>293</v>
      </c>
      <c r="N125" s="412"/>
    </row>
    <row r="126" spans="1:16" ht="14.25" customHeight="1">
      <c r="A126" s="301"/>
      <c r="B126" s="300"/>
      <c r="C126" s="300"/>
      <c r="D126" s="532"/>
      <c r="E126" s="532"/>
      <c r="F126" s="532"/>
      <c r="G126" s="532"/>
      <c r="H126" s="532"/>
      <c r="I126" s="532"/>
      <c r="J126" s="532"/>
      <c r="K126" s="532"/>
      <c r="L126" s="532"/>
      <c r="M126" s="532"/>
      <c r="N126" s="412"/>
    </row>
    <row r="127" spans="1:16">
      <c r="A127" s="292" t="s">
        <v>34</v>
      </c>
      <c r="B127" s="293"/>
      <c r="C127" s="293"/>
      <c r="D127" s="295">
        <f>+J117</f>
        <v>0.70636143364482951</v>
      </c>
      <c r="E127" s="286"/>
      <c r="F127" s="308">
        <v>1</v>
      </c>
      <c r="G127" s="308"/>
      <c r="H127" s="3">
        <f>+$D$127*F127</f>
        <v>0.70636143364482951</v>
      </c>
      <c r="I127" s="538">
        <f>+$M$38</f>
        <v>1.3845771033703516</v>
      </c>
      <c r="J127" s="539"/>
      <c r="K127" s="390">
        <f>$J$28*IF('Segment Tables'!$D$29="No",1,HLOOKUP($J$9,'Segment Tables'!$D$31:$H$50,19,FALSE))*VLOOKUP(VLOOKUP($J$12,'Segment Tables'!$O$59:$P$85,MATCH("Region",'Segment Tables'!$O$59:$P$59,0),FALSE),'Segment Tables'!$K$28:$P$33,MATCH($J$9,'Segment Tables'!$K$28:$P$28,0),FALSE)</f>
        <v>0.92</v>
      </c>
      <c r="L127" s="286">
        <f>$J$28*VLOOKUP(VLOOKUP($J$12,'Segment Tables'!$O$59:$P$85,MATCH("Region",'Segment Tables'!$O$59:$P$59,0),FALSE),'Segment Tables'!$K$28:$P$33,MATCH($J$9,'Segment Tables'!$K$28:$P$28,0),FALSE)</f>
        <v>1</v>
      </c>
      <c r="M127" s="535">
        <f>+H127*I127*K127</f>
        <v>0.89977091831020795</v>
      </c>
      <c r="N127" s="536"/>
    </row>
    <row r="128" spans="1:16">
      <c r="A128" s="292" t="s">
        <v>133</v>
      </c>
      <c r="B128" s="293"/>
      <c r="C128" s="293"/>
      <c r="D128" s="537" t="s">
        <v>13</v>
      </c>
      <c r="E128" s="286"/>
      <c r="F128" s="308">
        <f>HLOOKUP($J$9,'Segment Tables'!$D$31:$H$47,15,FALSE)</f>
        <v>0.26900000000000002</v>
      </c>
      <c r="G128" s="308"/>
      <c r="H128" s="3">
        <f>+$D$127*F128</f>
        <v>0.19001122565045914</v>
      </c>
      <c r="I128" s="538">
        <f>+$M$38</f>
        <v>1.3845771033703516</v>
      </c>
      <c r="J128" s="539"/>
      <c r="K128" s="390">
        <f>$J$28*IF('Segment Tables'!$D$29="No",1,HLOOKUP($J$9,'Segment Tables'!$D$31:$H$50,19,FALSE))*VLOOKUP(VLOOKUP($J$12,'Segment Tables'!$O$59:$P$85,MATCH("Region",'Segment Tables'!$O$59:$P$59,0),FALSE),'Segment Tables'!$K$28:$P$33,MATCH($J$9,'Segment Tables'!$K$28:$P$28,0),FALSE)</f>
        <v>0.92</v>
      </c>
      <c r="L128" s="286">
        <f>$J$28*VLOOKUP(VLOOKUP($J$12,'Segment Tables'!$O$59:$P$85,MATCH("Region",'Segment Tables'!$O$59:$P$59,0),FALSE),'Segment Tables'!$K$28:$P$33,MATCH($J$9,'Segment Tables'!$K$28:$P$28,0),FALSE)</f>
        <v>1</v>
      </c>
      <c r="M128" s="535">
        <f>+H128*I128*K128</f>
        <v>0.24203837702544592</v>
      </c>
      <c r="N128" s="536"/>
    </row>
    <row r="129" spans="1:14" ht="13.8" thickBot="1">
      <c r="A129" s="309" t="s">
        <v>134</v>
      </c>
      <c r="B129" s="310"/>
      <c r="C129" s="310"/>
      <c r="D129" s="283" t="s">
        <v>13</v>
      </c>
      <c r="E129" s="332"/>
      <c r="F129" s="307">
        <f>HLOOKUP($J$9,'Segment Tables'!$D$31:$H$47,17,FALSE)</f>
        <v>0.73099999999999998</v>
      </c>
      <c r="G129" s="307"/>
      <c r="H129" s="37">
        <f>+$D$127*F129</f>
        <v>0.51635020799437037</v>
      </c>
      <c r="I129" s="415">
        <f>+$M$38</f>
        <v>1.3845771033703516</v>
      </c>
      <c r="J129" s="540"/>
      <c r="K129" s="417">
        <f>$J$28*IF('Segment Tables'!$D$29="No",1,HLOOKUP($J$9,'Segment Tables'!$D$31:$H$50,19,FALSE))*VLOOKUP(VLOOKUP($J$12,'Segment Tables'!$O$59:$P$85,MATCH("Region",'Segment Tables'!$O$59:$P$59,0),FALSE),'Segment Tables'!$K$28:$P$33,MATCH($J$9,'Segment Tables'!$K$28:$P$28,0),FALSE)</f>
        <v>0.92</v>
      </c>
      <c r="L129" s="332">
        <f>$J$28*VLOOKUP(VLOOKUP($J$12,'Segment Tables'!$O$59:$P$85,MATCH("Region",'Segment Tables'!$O$59:$P$59,0),FALSE),'Segment Tables'!$K$28:$P$33,MATCH($J$9,'Segment Tables'!$K$28:$P$28,0),FALSE)</f>
        <v>1</v>
      </c>
      <c r="M129" s="541">
        <f>+H129*I129*K129</f>
        <v>0.657732541284762</v>
      </c>
      <c r="N129" s="542"/>
    </row>
    <row r="132" spans="1:14" ht="13.8" thickBot="1"/>
    <row r="133" spans="1:14" ht="14.4" thickTop="1" thickBot="1">
      <c r="A133" s="302" t="s">
        <v>294</v>
      </c>
      <c r="B133" s="358"/>
      <c r="C133" s="358"/>
      <c r="D133" s="358"/>
      <c r="E133" s="358"/>
      <c r="F133" s="358"/>
      <c r="G133" s="358"/>
      <c r="H133" s="358"/>
      <c r="I133" s="359"/>
      <c r="J133" s="359"/>
      <c r="K133" s="359"/>
      <c r="L133" s="359"/>
      <c r="M133" s="359"/>
      <c r="N133" s="359"/>
    </row>
    <row r="134" spans="1:14">
      <c r="A134" s="406" t="s">
        <v>15</v>
      </c>
      <c r="B134" s="287"/>
      <c r="C134" s="287" t="s">
        <v>16</v>
      </c>
      <c r="D134" s="287"/>
      <c r="E134" s="287" t="s">
        <v>17</v>
      </c>
      <c r="F134" s="287"/>
      <c r="G134" s="287" t="s">
        <v>18</v>
      </c>
      <c r="H134" s="287"/>
      <c r="I134" s="287" t="s">
        <v>19</v>
      </c>
      <c r="J134" s="287"/>
      <c r="K134" s="288" t="s">
        <v>20</v>
      </c>
      <c r="L134" s="406"/>
      <c r="M134" s="287" t="s">
        <v>21</v>
      </c>
      <c r="N134" s="288"/>
    </row>
    <row r="135" spans="1:14" ht="14.4" customHeight="1">
      <c r="A135" s="299" t="s">
        <v>31</v>
      </c>
      <c r="B135" s="545"/>
      <c r="C135" s="543" t="s">
        <v>228</v>
      </c>
      <c r="D135" s="543"/>
      <c r="E135" s="543" t="s">
        <v>260</v>
      </c>
      <c r="F135" s="543"/>
      <c r="G135" s="543" t="s">
        <v>290</v>
      </c>
      <c r="H135" s="543"/>
      <c r="I135" s="543" t="s">
        <v>297</v>
      </c>
      <c r="J135" s="543"/>
      <c r="K135" s="472" t="s">
        <v>303</v>
      </c>
      <c r="L135" s="544"/>
      <c r="M135" s="289" t="s">
        <v>295</v>
      </c>
      <c r="N135" s="412"/>
    </row>
    <row r="136" spans="1:14" ht="14.4" customHeight="1">
      <c r="A136" s="299"/>
      <c r="B136" s="545"/>
      <c r="C136" s="348" t="s">
        <v>298</v>
      </c>
      <c r="D136" s="532"/>
      <c r="E136" s="348" t="s">
        <v>299</v>
      </c>
      <c r="F136" s="532"/>
      <c r="G136" s="348" t="s">
        <v>300</v>
      </c>
      <c r="H136" s="348"/>
      <c r="I136" s="348" t="s">
        <v>301</v>
      </c>
      <c r="J136" s="532"/>
      <c r="K136" s="551" t="s">
        <v>601</v>
      </c>
      <c r="L136" s="552"/>
      <c r="M136" s="348" t="s">
        <v>818</v>
      </c>
      <c r="N136" s="319"/>
    </row>
    <row r="137" spans="1:14" ht="14.4" customHeight="1">
      <c r="A137" s="299"/>
      <c r="B137" s="545"/>
      <c r="C137" s="532"/>
      <c r="D137" s="532"/>
      <c r="E137" s="532"/>
      <c r="F137" s="532"/>
      <c r="G137" s="348"/>
      <c r="H137" s="348"/>
      <c r="I137" s="532"/>
      <c r="J137" s="532"/>
      <c r="K137" s="553"/>
      <c r="L137" s="554"/>
      <c r="M137" s="532"/>
      <c r="N137" s="412"/>
    </row>
    <row r="138" spans="1:14">
      <c r="A138" s="292" t="s">
        <v>34</v>
      </c>
      <c r="B138" s="334"/>
      <c r="C138" s="295">
        <f>+$N$48</f>
        <v>4.843543332514777</v>
      </c>
      <c r="D138" s="286"/>
      <c r="E138" s="295">
        <f>+$N$80</f>
        <v>2.2478872768782416</v>
      </c>
      <c r="F138" s="286"/>
      <c r="G138" s="295">
        <f>+$M$127</f>
        <v>0.89977091831020795</v>
      </c>
      <c r="H138" s="286"/>
      <c r="I138" s="295">
        <f>+C138+E138+G138</f>
        <v>7.9912015277032262</v>
      </c>
      <c r="J138" s="286"/>
      <c r="K138" s="285">
        <f>IF('Segment Tables'!$C$101="No", (IF($J$25="Posted Speed 30 mph or Lower",VLOOKUP($J$9,'Segment Tables'!$B$104:$K$108,3,FALSE),VLOOKUP($J$9,'Segment Tables'!$B$104:$K$108,5,FALSE))),(IF($J$25="Posted Speed 30 mph or Lower", VLOOKUP($J$9,'Segment Tables'!$B$104:$K$108,7,FALSE),VLOOKUP($J$9,'Segment Tables'!$B$104:$K$108,9,FALSE))))</f>
        <v>2.3E-2</v>
      </c>
      <c r="L138" s="286"/>
      <c r="M138" s="547">
        <f>+$I$138*$K$138</f>
        <v>0.1837976351371742</v>
      </c>
      <c r="N138" s="548"/>
    </row>
    <row r="139" spans="1:14" ht="13.8" thickBot="1">
      <c r="A139" s="309" t="s">
        <v>133</v>
      </c>
      <c r="B139" s="304"/>
      <c r="C139" s="546" t="s">
        <v>13</v>
      </c>
      <c r="D139" s="525"/>
      <c r="E139" s="546" t="s">
        <v>13</v>
      </c>
      <c r="F139" s="525"/>
      <c r="G139" s="546" t="s">
        <v>13</v>
      </c>
      <c r="H139" s="525"/>
      <c r="I139" s="546" t="s">
        <v>13</v>
      </c>
      <c r="J139" s="525"/>
      <c r="K139" s="283" t="s">
        <v>13</v>
      </c>
      <c r="L139" s="284"/>
      <c r="M139" s="549">
        <f>+$I$138*$K$138</f>
        <v>0.1837976351371742</v>
      </c>
      <c r="N139" s="550"/>
    </row>
    <row r="142" spans="1:14" ht="13.8" thickBot="1"/>
    <row r="143" spans="1:14" ht="14.4" thickTop="1" thickBot="1">
      <c r="A143" s="302" t="s">
        <v>302</v>
      </c>
      <c r="B143" s="358"/>
      <c r="C143" s="358"/>
      <c r="D143" s="358"/>
      <c r="E143" s="358"/>
      <c r="F143" s="358"/>
      <c r="G143" s="358"/>
      <c r="H143" s="358"/>
      <c r="I143" s="359"/>
      <c r="J143" s="359"/>
      <c r="K143" s="359"/>
      <c r="L143" s="359"/>
      <c r="M143" s="359"/>
      <c r="N143" s="359"/>
    </row>
    <row r="144" spans="1:14">
      <c r="A144" s="406" t="s">
        <v>15</v>
      </c>
      <c r="B144" s="287"/>
      <c r="C144" s="287" t="s">
        <v>16</v>
      </c>
      <c r="D144" s="287"/>
      <c r="E144" s="287" t="s">
        <v>17</v>
      </c>
      <c r="F144" s="287"/>
      <c r="G144" s="287" t="s">
        <v>18</v>
      </c>
      <c r="H144" s="287"/>
      <c r="I144" s="287" t="s">
        <v>19</v>
      </c>
      <c r="J144" s="287"/>
      <c r="K144" s="288" t="s">
        <v>20</v>
      </c>
      <c r="L144" s="406"/>
      <c r="M144" s="287" t="s">
        <v>21</v>
      </c>
      <c r="N144" s="288"/>
    </row>
    <row r="145" spans="1:14" ht="14.4" customHeight="1">
      <c r="A145" s="299" t="s">
        <v>31</v>
      </c>
      <c r="B145" s="545"/>
      <c r="C145" s="543" t="s">
        <v>228</v>
      </c>
      <c r="D145" s="543"/>
      <c r="E145" s="543" t="s">
        <v>260</v>
      </c>
      <c r="F145" s="543"/>
      <c r="G145" s="543" t="s">
        <v>290</v>
      </c>
      <c r="H145" s="543"/>
      <c r="I145" s="543" t="s">
        <v>297</v>
      </c>
      <c r="J145" s="543"/>
      <c r="K145" s="472" t="s">
        <v>296</v>
      </c>
      <c r="L145" s="544"/>
      <c r="M145" s="289" t="s">
        <v>515</v>
      </c>
      <c r="N145" s="412"/>
    </row>
    <row r="146" spans="1:14" ht="14.4" customHeight="1">
      <c r="A146" s="299"/>
      <c r="B146" s="545"/>
      <c r="C146" s="348" t="s">
        <v>298</v>
      </c>
      <c r="D146" s="532"/>
      <c r="E146" s="348" t="s">
        <v>299</v>
      </c>
      <c r="F146" s="532"/>
      <c r="G146" s="348" t="s">
        <v>300</v>
      </c>
      <c r="H146" s="348"/>
      <c r="I146" s="348" t="s">
        <v>301</v>
      </c>
      <c r="J146" s="532"/>
      <c r="K146" s="551" t="s">
        <v>602</v>
      </c>
      <c r="L146" s="552"/>
      <c r="M146" s="348" t="s">
        <v>818</v>
      </c>
      <c r="N146" s="319"/>
    </row>
    <row r="147" spans="1:14" ht="14.4" customHeight="1">
      <c r="A147" s="299"/>
      <c r="B147" s="545"/>
      <c r="C147" s="532"/>
      <c r="D147" s="532"/>
      <c r="E147" s="532"/>
      <c r="F147" s="532"/>
      <c r="G147" s="348"/>
      <c r="H147" s="348"/>
      <c r="I147" s="532"/>
      <c r="J147" s="532"/>
      <c r="K147" s="553"/>
      <c r="L147" s="554"/>
      <c r="M147" s="532"/>
      <c r="N147" s="412"/>
    </row>
    <row r="148" spans="1:14">
      <c r="A148" s="292" t="s">
        <v>34</v>
      </c>
      <c r="B148" s="334"/>
      <c r="C148" s="295">
        <f>+$N$48</f>
        <v>4.843543332514777</v>
      </c>
      <c r="D148" s="286"/>
      <c r="E148" s="295">
        <f>+$N$80</f>
        <v>2.2478872768782416</v>
      </c>
      <c r="F148" s="286"/>
      <c r="G148" s="295">
        <f>+$M$127</f>
        <v>0.89977091831020795</v>
      </c>
      <c r="H148" s="286"/>
      <c r="I148" s="295">
        <f>+C148+E148+G148</f>
        <v>7.9912015277032262</v>
      </c>
      <c r="J148" s="286"/>
      <c r="K148" s="285">
        <f>IF('Segment Tables'!$C$116="No", (IF($J$25="Posted Speed 30 mph or Lower",VLOOKUP($J$9,'Segment Tables'!$B$119:$K$123,3,FALSE),VLOOKUP($J$9,'Segment Tables'!$B$119:$K$123,5,FALSE))),(IF($J$25="Posted Speed 30 mph or Lower", VLOOKUP($J$9,'Segment Tables'!$B$119:$K$123,7,FALSE),VLOOKUP($J$9,'Segment Tables'!$B$119:$K$123,9,FALSE))))</f>
        <v>6.5000000000000002E-2</v>
      </c>
      <c r="L148" s="286"/>
      <c r="M148" s="547">
        <f>+$I$148*$K$148</f>
        <v>0.51942809930070977</v>
      </c>
      <c r="N148" s="548"/>
    </row>
    <row r="149" spans="1:14" ht="13.8" thickBot="1">
      <c r="A149" s="309" t="s">
        <v>133</v>
      </c>
      <c r="B149" s="304"/>
      <c r="C149" s="546" t="s">
        <v>13</v>
      </c>
      <c r="D149" s="525"/>
      <c r="E149" s="546" t="s">
        <v>13</v>
      </c>
      <c r="F149" s="525"/>
      <c r="G149" s="546" t="s">
        <v>13</v>
      </c>
      <c r="H149" s="525"/>
      <c r="I149" s="546" t="s">
        <v>13</v>
      </c>
      <c r="J149" s="525"/>
      <c r="K149" s="283" t="s">
        <v>13</v>
      </c>
      <c r="L149" s="284"/>
      <c r="M149" s="549">
        <f>+$I$148*$K$148</f>
        <v>0.51942809930070977</v>
      </c>
      <c r="N149" s="550"/>
    </row>
    <row r="152" spans="1:14" ht="13.8" thickBot="1"/>
    <row r="153" spans="1:14" ht="14.4" thickTop="1" thickBot="1">
      <c r="A153" s="302" t="s">
        <v>304</v>
      </c>
      <c r="B153" s="358"/>
      <c r="C153" s="358"/>
      <c r="D153" s="358"/>
      <c r="E153" s="358"/>
      <c r="F153" s="358"/>
      <c r="G153" s="358"/>
      <c r="H153" s="358"/>
      <c r="I153" s="359"/>
      <c r="J153" s="359"/>
      <c r="K153" s="359"/>
      <c r="L153" s="359"/>
      <c r="M153" s="359"/>
      <c r="N153" s="359"/>
    </row>
    <row r="154" spans="1:14">
      <c r="A154" s="513" t="s">
        <v>15</v>
      </c>
      <c r="B154" s="514"/>
      <c r="C154" s="514"/>
      <c r="D154" s="514"/>
      <c r="E154" s="514"/>
      <c r="F154" s="555" t="s">
        <v>16</v>
      </c>
      <c r="G154" s="555"/>
      <c r="H154" s="555"/>
      <c r="I154" s="555" t="s">
        <v>17</v>
      </c>
      <c r="J154" s="555"/>
      <c r="K154" s="555"/>
      <c r="L154" s="555" t="s">
        <v>18</v>
      </c>
      <c r="M154" s="555"/>
      <c r="N154" s="556"/>
    </row>
    <row r="155" spans="1:14">
      <c r="A155" s="579" t="s">
        <v>49</v>
      </c>
      <c r="B155" s="580"/>
      <c r="C155" s="580"/>
      <c r="D155" s="580"/>
      <c r="E155" s="580"/>
      <c r="F155" s="564" t="s">
        <v>133</v>
      </c>
      <c r="G155" s="564"/>
      <c r="H155" s="564"/>
      <c r="I155" s="564" t="s">
        <v>134</v>
      </c>
      <c r="J155" s="564"/>
      <c r="K155" s="564"/>
      <c r="L155" s="564" t="s">
        <v>34</v>
      </c>
      <c r="M155" s="564"/>
      <c r="N155" s="565"/>
    </row>
    <row r="156" spans="1:14">
      <c r="A156" s="581"/>
      <c r="B156" s="582"/>
      <c r="C156" s="582"/>
      <c r="D156" s="582"/>
      <c r="E156" s="582"/>
      <c r="F156" s="558" t="s">
        <v>305</v>
      </c>
      <c r="G156" s="558"/>
      <c r="H156" s="558"/>
      <c r="I156" s="558" t="s">
        <v>306</v>
      </c>
      <c r="J156" s="558"/>
      <c r="K156" s="558"/>
      <c r="L156" s="558" t="s">
        <v>308</v>
      </c>
      <c r="M156" s="558"/>
      <c r="N156" s="561"/>
    </row>
    <row r="157" spans="1:14">
      <c r="A157" s="581"/>
      <c r="B157" s="582"/>
      <c r="C157" s="582"/>
      <c r="D157" s="582"/>
      <c r="E157" s="582"/>
      <c r="F157" s="562" t="s">
        <v>307</v>
      </c>
      <c r="G157" s="562"/>
      <c r="H157" s="562"/>
      <c r="I157" s="559" t="s">
        <v>300</v>
      </c>
      <c r="J157" s="559"/>
      <c r="K157" s="559"/>
      <c r="L157" s="562" t="s">
        <v>307</v>
      </c>
      <c r="M157" s="562"/>
      <c r="N157" s="563"/>
    </row>
    <row r="158" spans="1:14">
      <c r="A158" s="583"/>
      <c r="B158" s="584"/>
      <c r="C158" s="584"/>
      <c r="D158" s="584"/>
      <c r="E158" s="584"/>
      <c r="F158" s="557" t="s">
        <v>819</v>
      </c>
      <c r="G158" s="557"/>
      <c r="H158" s="557"/>
      <c r="I158" s="560"/>
      <c r="J158" s="560"/>
      <c r="K158" s="560"/>
      <c r="L158" s="557" t="s">
        <v>819</v>
      </c>
      <c r="M158" s="557"/>
      <c r="N158" s="578"/>
    </row>
    <row r="159" spans="1:14">
      <c r="A159" s="544" t="s">
        <v>309</v>
      </c>
      <c r="B159" s="543"/>
      <c r="C159" s="543"/>
      <c r="D159" s="543"/>
      <c r="E159" s="543"/>
      <c r="F159" s="543"/>
      <c r="G159" s="543"/>
      <c r="H159" s="543"/>
      <c r="I159" s="543"/>
      <c r="J159" s="543"/>
      <c r="K159" s="543"/>
      <c r="L159" s="543"/>
      <c r="M159" s="543"/>
      <c r="N159" s="472"/>
    </row>
    <row r="160" spans="1:14">
      <c r="A160" s="292" t="s">
        <v>311</v>
      </c>
      <c r="B160" s="334"/>
      <c r="C160" s="334"/>
      <c r="D160" s="334"/>
      <c r="E160" s="334"/>
      <c r="F160" s="308">
        <f>+F65</f>
        <v>0.62260843413477951</v>
      </c>
      <c r="G160" s="291"/>
      <c r="H160" s="291"/>
      <c r="I160" s="308">
        <f>+J65</f>
        <v>1.3029519047931353</v>
      </c>
      <c r="J160" s="291"/>
      <c r="K160" s="291"/>
      <c r="L160" s="308">
        <f>+L65</f>
        <v>1.9255603389279148</v>
      </c>
      <c r="M160" s="291"/>
      <c r="N160" s="285"/>
    </row>
    <row r="161" spans="1:14">
      <c r="A161" s="292" t="s">
        <v>312</v>
      </c>
      <c r="B161" s="334"/>
      <c r="C161" s="334"/>
      <c r="D161" s="334"/>
      <c r="E161" s="334"/>
      <c r="F161" s="308">
        <f>+F66</f>
        <v>0.14809618093497184</v>
      </c>
      <c r="G161" s="291"/>
      <c r="H161" s="291"/>
      <c r="I161" s="308">
        <f>+J66</f>
        <v>7.9976587506484009E-2</v>
      </c>
      <c r="J161" s="291"/>
      <c r="K161" s="291"/>
      <c r="L161" s="308">
        <f>+L66</f>
        <v>0.22807276844145585</v>
      </c>
      <c r="M161" s="291"/>
      <c r="N161" s="285"/>
    </row>
    <row r="162" spans="1:14">
      <c r="A162" s="292" t="s">
        <v>313</v>
      </c>
      <c r="B162" s="334"/>
      <c r="C162" s="334"/>
      <c r="D162" s="334"/>
      <c r="E162" s="334"/>
      <c r="F162" s="308">
        <f>+F67</f>
        <v>1.8134226236935325E-2</v>
      </c>
      <c r="G162" s="291"/>
      <c r="H162" s="291"/>
      <c r="I162" s="308">
        <f>+J67</f>
        <v>4.3320651566012169E-2</v>
      </c>
      <c r="J162" s="291"/>
      <c r="K162" s="291"/>
      <c r="L162" s="308">
        <f>+L67</f>
        <v>6.1454877802947491E-2</v>
      </c>
      <c r="M162" s="291"/>
      <c r="N162" s="285"/>
    </row>
    <row r="163" spans="1:14">
      <c r="A163" s="292" t="s">
        <v>314</v>
      </c>
      <c r="B163" s="293"/>
      <c r="C163" s="293"/>
      <c r="D163" s="293"/>
      <c r="E163" s="293"/>
      <c r="F163" s="308">
        <f>+F68</f>
        <v>0.17227514925088561</v>
      </c>
      <c r="G163" s="291"/>
      <c r="H163" s="291"/>
      <c r="I163" s="308">
        <f>+J68</f>
        <v>0.74311579224774715</v>
      </c>
      <c r="J163" s="291"/>
      <c r="K163" s="291"/>
      <c r="L163" s="308">
        <f>+L68</f>
        <v>0.91539094149863276</v>
      </c>
      <c r="M163" s="291"/>
      <c r="N163" s="285"/>
    </row>
    <row r="164" spans="1:14">
      <c r="A164" s="292" t="s">
        <v>315</v>
      </c>
      <c r="B164" s="293"/>
      <c r="C164" s="293"/>
      <c r="D164" s="293"/>
      <c r="E164" s="293"/>
      <c r="F164" s="308" t="str">
        <f>+F69</f>
        <v>--</v>
      </c>
      <c r="G164" s="291"/>
      <c r="H164" s="291"/>
      <c r="I164" s="308" t="str">
        <f>+J69</f>
        <v>--</v>
      </c>
      <c r="J164" s="291"/>
      <c r="K164" s="291"/>
      <c r="L164" s="308" t="str">
        <f>+L69</f>
        <v>--</v>
      </c>
      <c r="M164" s="291"/>
      <c r="N164" s="285"/>
    </row>
    <row r="165" spans="1:14">
      <c r="A165" s="292" t="s">
        <v>316</v>
      </c>
      <c r="B165" s="293"/>
      <c r="C165" s="293"/>
      <c r="D165" s="293"/>
      <c r="E165" s="293"/>
      <c r="F165" s="308">
        <f>+M128</f>
        <v>0.24203837702544592</v>
      </c>
      <c r="G165" s="291"/>
      <c r="H165" s="291"/>
      <c r="I165" s="308">
        <f>+M129</f>
        <v>0.657732541284762</v>
      </c>
      <c r="J165" s="291"/>
      <c r="K165" s="291"/>
      <c r="L165" s="308">
        <f>+M127</f>
        <v>0.89977091831020795</v>
      </c>
      <c r="M165" s="291"/>
      <c r="N165" s="285"/>
    </row>
    <row r="166" spans="1:14">
      <c r="A166" s="292" t="s">
        <v>317</v>
      </c>
      <c r="B166" s="293"/>
      <c r="C166" s="293"/>
      <c r="D166" s="293"/>
      <c r="E166" s="293"/>
      <c r="F166" s="308">
        <f>+F70</f>
        <v>0.54856034366729356</v>
      </c>
      <c r="G166" s="291"/>
      <c r="H166" s="291"/>
      <c r="I166" s="308">
        <f>+J70</f>
        <v>1.1663252344695583</v>
      </c>
      <c r="J166" s="291"/>
      <c r="K166" s="291"/>
      <c r="L166" s="308">
        <f>+L70</f>
        <v>1.7148855781368519</v>
      </c>
      <c r="M166" s="291"/>
      <c r="N166" s="285"/>
    </row>
    <row r="167" spans="1:14" ht="13.8" thickBot="1">
      <c r="A167" s="573" t="s">
        <v>318</v>
      </c>
      <c r="B167" s="558"/>
      <c r="C167" s="558"/>
      <c r="D167" s="558"/>
      <c r="E167" s="558"/>
      <c r="F167" s="566">
        <f>SUM(F160:H166)</f>
        <v>1.7517127112503119</v>
      </c>
      <c r="G167" s="567"/>
      <c r="H167" s="567"/>
      <c r="I167" s="566">
        <f>SUM(I160:K166)</f>
        <v>3.9934227118676988</v>
      </c>
      <c r="J167" s="567"/>
      <c r="K167" s="567"/>
      <c r="L167" s="566">
        <f>SUM(L160:N166)</f>
        <v>5.7451354231180103</v>
      </c>
      <c r="M167" s="567"/>
      <c r="N167" s="574"/>
    </row>
    <row r="168" spans="1:14">
      <c r="A168" s="568" t="s">
        <v>310</v>
      </c>
      <c r="B168" s="569"/>
      <c r="C168" s="569"/>
      <c r="D168" s="569"/>
      <c r="E168" s="569"/>
      <c r="F168" s="569"/>
      <c r="G168" s="569"/>
      <c r="H168" s="569"/>
      <c r="I168" s="569"/>
      <c r="J168" s="569"/>
      <c r="K168" s="569"/>
      <c r="L168" s="569"/>
      <c r="M168" s="569"/>
      <c r="N168" s="570"/>
    </row>
    <row r="169" spans="1:14">
      <c r="A169" s="292" t="s">
        <v>319</v>
      </c>
      <c r="B169" s="293"/>
      <c r="C169" s="293"/>
      <c r="D169" s="293"/>
      <c r="E169" s="293"/>
      <c r="F169" s="308">
        <f>+F97</f>
        <v>4.5209508912575198E-2</v>
      </c>
      <c r="G169" s="291"/>
      <c r="H169" s="291"/>
      <c r="I169" s="308">
        <f>+J97</f>
        <v>0.20765757875073512</v>
      </c>
      <c r="J169" s="291"/>
      <c r="K169" s="291"/>
      <c r="L169" s="308">
        <f>+L97</f>
        <v>0.25286708766331034</v>
      </c>
      <c r="M169" s="291"/>
      <c r="N169" s="285"/>
    </row>
    <row r="170" spans="1:14">
      <c r="A170" s="292" t="s">
        <v>320</v>
      </c>
      <c r="B170" s="293"/>
      <c r="C170" s="293"/>
      <c r="D170" s="293"/>
      <c r="E170" s="293"/>
      <c r="F170" s="308">
        <f>+F98</f>
        <v>0.50672324572844696</v>
      </c>
      <c r="G170" s="291"/>
      <c r="H170" s="291"/>
      <c r="I170" s="308">
        <f>+J98</f>
        <v>0.8841772378254571</v>
      </c>
      <c r="J170" s="291"/>
      <c r="K170" s="291"/>
      <c r="L170" s="308">
        <f>+L98</f>
        <v>1.3909004835539041</v>
      </c>
      <c r="M170" s="291"/>
      <c r="N170" s="285"/>
    </row>
    <row r="171" spans="1:14">
      <c r="A171" s="292" t="s">
        <v>321</v>
      </c>
      <c r="B171" s="293"/>
      <c r="C171" s="293"/>
      <c r="D171" s="293"/>
      <c r="E171" s="293"/>
      <c r="F171" s="308">
        <f>+F99</f>
        <v>1.977916014925165E-2</v>
      </c>
      <c r="G171" s="291"/>
      <c r="H171" s="291"/>
      <c r="I171" s="308">
        <f>+J99</f>
        <v>7.1831237932644218E-2</v>
      </c>
      <c r="J171" s="291"/>
      <c r="K171" s="291"/>
      <c r="L171" s="308">
        <f>+L99</f>
        <v>9.1610398081895861E-2</v>
      </c>
      <c r="M171" s="291"/>
      <c r="N171" s="285"/>
    </row>
    <row r="172" spans="1:14">
      <c r="A172" s="292" t="s">
        <v>322</v>
      </c>
      <c r="B172" s="293"/>
      <c r="C172" s="293"/>
      <c r="D172" s="293"/>
      <c r="E172" s="293"/>
      <c r="F172" s="308">
        <f>+F100</f>
        <v>0.37015285422170935</v>
      </c>
      <c r="G172" s="291"/>
      <c r="H172" s="291"/>
      <c r="I172" s="308">
        <f>+J100</f>
        <v>0.1423564533574222</v>
      </c>
      <c r="J172" s="291"/>
      <c r="K172" s="291"/>
      <c r="L172" s="308">
        <f>+L100</f>
        <v>0.5125093075791316</v>
      </c>
      <c r="M172" s="291"/>
      <c r="N172" s="285"/>
    </row>
    <row r="173" spans="1:14">
      <c r="A173" s="292" t="s">
        <v>323</v>
      </c>
      <c r="B173" s="293"/>
      <c r="C173" s="293"/>
      <c r="D173" s="293"/>
      <c r="E173" s="293"/>
      <c r="F173" s="308">
        <f>+M139</f>
        <v>0.1837976351371742</v>
      </c>
      <c r="G173" s="291"/>
      <c r="H173" s="291"/>
      <c r="I173" s="308">
        <v>0</v>
      </c>
      <c r="J173" s="308"/>
      <c r="K173" s="308"/>
      <c r="L173" s="308">
        <f>+M138</f>
        <v>0.1837976351371742</v>
      </c>
      <c r="M173" s="291"/>
      <c r="N173" s="285"/>
    </row>
    <row r="174" spans="1:14">
      <c r="A174" s="292" t="s">
        <v>324</v>
      </c>
      <c r="B174" s="293"/>
      <c r="C174" s="293"/>
      <c r="D174" s="293"/>
      <c r="E174" s="293"/>
      <c r="F174" s="308">
        <f>+M149</f>
        <v>0.51942809930070977</v>
      </c>
      <c r="G174" s="291"/>
      <c r="H174" s="291"/>
      <c r="I174" s="308">
        <v>0</v>
      </c>
      <c r="J174" s="308"/>
      <c r="K174" s="308"/>
      <c r="L174" s="308">
        <f>+M148</f>
        <v>0.51942809930070977</v>
      </c>
      <c r="M174" s="291"/>
      <c r="N174" s="285"/>
    </row>
    <row r="175" spans="1:14" ht="13.8" thickBot="1">
      <c r="A175" s="573" t="s">
        <v>318</v>
      </c>
      <c r="B175" s="558"/>
      <c r="C175" s="558"/>
      <c r="D175" s="558"/>
      <c r="E175" s="558"/>
      <c r="F175" s="566">
        <f>SUM(F169:H174)</f>
        <v>1.6450905034498673</v>
      </c>
      <c r="G175" s="567"/>
      <c r="H175" s="567"/>
      <c r="I175" s="566">
        <f>SUM(I169:K174)</f>
        <v>1.3060225078662586</v>
      </c>
      <c r="J175" s="567"/>
      <c r="K175" s="567"/>
      <c r="L175" s="566">
        <f>SUM(L169:N174)</f>
        <v>2.9511130113161257</v>
      </c>
      <c r="M175" s="567"/>
      <c r="N175" s="574"/>
    </row>
    <row r="176" spans="1:14" ht="13.8" thickBot="1">
      <c r="A176" s="571" t="s">
        <v>34</v>
      </c>
      <c r="B176" s="572"/>
      <c r="C176" s="572"/>
      <c r="D176" s="572"/>
      <c r="E176" s="572"/>
      <c r="F176" s="575">
        <f>+F167+F175</f>
        <v>3.3968032147001792</v>
      </c>
      <c r="G176" s="576"/>
      <c r="H176" s="576"/>
      <c r="I176" s="575">
        <f>+I167+I175</f>
        <v>5.2994452197339577</v>
      </c>
      <c r="J176" s="576"/>
      <c r="K176" s="576"/>
      <c r="L176" s="575">
        <f>+L167+L175</f>
        <v>8.6962484344341355</v>
      </c>
      <c r="M176" s="576"/>
      <c r="N176" s="577"/>
    </row>
    <row r="179" spans="2:14" ht="13.8" thickBot="1"/>
    <row r="180" spans="2:14" ht="14.4" thickTop="1" thickBot="1">
      <c r="B180" s="302" t="s">
        <v>325</v>
      </c>
      <c r="C180" s="302"/>
      <c r="D180" s="302"/>
      <c r="E180" s="302"/>
      <c r="F180" s="302"/>
      <c r="G180" s="302"/>
      <c r="H180" s="302"/>
      <c r="I180" s="302"/>
      <c r="J180" s="302"/>
      <c r="K180" s="302"/>
      <c r="L180" s="302"/>
      <c r="M180" s="302"/>
      <c r="N180" s="1"/>
    </row>
    <row r="181" spans="2:14">
      <c r="B181" s="297" t="s">
        <v>15</v>
      </c>
      <c r="C181" s="298"/>
      <c r="D181" s="298"/>
      <c r="E181" s="287" t="s">
        <v>16</v>
      </c>
      <c r="F181" s="287"/>
      <c r="G181" s="287"/>
      <c r="H181" s="287" t="s">
        <v>17</v>
      </c>
      <c r="I181" s="287"/>
      <c r="J181" s="287"/>
      <c r="K181" s="287" t="s">
        <v>18</v>
      </c>
      <c r="L181" s="287"/>
      <c r="M181" s="288"/>
    </row>
    <row r="182" spans="2:14" ht="15.75" customHeight="1">
      <c r="B182" s="299" t="s">
        <v>31</v>
      </c>
      <c r="C182" s="300"/>
      <c r="D182" s="300"/>
      <c r="E182" s="289" t="s">
        <v>326</v>
      </c>
      <c r="F182" s="289"/>
      <c r="G182" s="289"/>
      <c r="H182" s="289" t="s">
        <v>327</v>
      </c>
      <c r="I182" s="289"/>
      <c r="J182" s="289"/>
      <c r="K182" s="313" t="s">
        <v>328</v>
      </c>
      <c r="L182" s="314"/>
      <c r="M182" s="314"/>
    </row>
    <row r="183" spans="2:14">
      <c r="B183" s="301"/>
      <c r="C183" s="300"/>
      <c r="D183" s="300"/>
      <c r="E183" s="289"/>
      <c r="F183" s="289"/>
      <c r="G183" s="289"/>
      <c r="H183" s="289"/>
      <c r="I183" s="289"/>
      <c r="J183" s="289"/>
      <c r="K183" s="315"/>
      <c r="L183" s="316"/>
      <c r="M183" s="316"/>
    </row>
    <row r="184" spans="2:14">
      <c r="B184" s="301"/>
      <c r="C184" s="300"/>
      <c r="D184" s="300"/>
      <c r="E184" s="289"/>
      <c r="F184" s="289"/>
      <c r="G184" s="289"/>
      <c r="H184" s="289"/>
      <c r="I184" s="289"/>
      <c r="J184" s="289"/>
      <c r="K184" s="317"/>
      <c r="L184" s="318"/>
      <c r="M184" s="318"/>
    </row>
    <row r="185" spans="2:14">
      <c r="B185" s="301"/>
      <c r="C185" s="300"/>
      <c r="D185" s="300"/>
      <c r="E185" s="290" t="s">
        <v>329</v>
      </c>
      <c r="F185" s="291"/>
      <c r="G185" s="291"/>
      <c r="H185" s="289"/>
      <c r="I185" s="289"/>
      <c r="J185" s="289"/>
      <c r="K185" s="319" t="s">
        <v>330</v>
      </c>
      <c r="L185" s="320"/>
      <c r="M185" s="320"/>
    </row>
    <row r="186" spans="2:14">
      <c r="B186" s="292" t="s">
        <v>34</v>
      </c>
      <c r="C186" s="293"/>
      <c r="D186" s="293"/>
      <c r="E186" s="311">
        <f>+L176</f>
        <v>8.6962484344341355</v>
      </c>
      <c r="F186" s="311"/>
      <c r="G186" s="311"/>
      <c r="H186" s="294">
        <f>+$J$10</f>
        <v>1.5</v>
      </c>
      <c r="I186" s="294"/>
      <c r="J186" s="294"/>
      <c r="K186" s="322">
        <f>+E186/H186</f>
        <v>5.7974989562894237</v>
      </c>
      <c r="L186" s="322"/>
      <c r="M186" s="323"/>
    </row>
    <row r="187" spans="2:14">
      <c r="B187" s="292" t="s">
        <v>133</v>
      </c>
      <c r="C187" s="293"/>
      <c r="D187" s="293"/>
      <c r="E187" s="311">
        <f>+F176</f>
        <v>3.3968032147001792</v>
      </c>
      <c r="F187" s="311"/>
      <c r="G187" s="311"/>
      <c r="H187" s="294">
        <f>+$J$10</f>
        <v>1.5</v>
      </c>
      <c r="I187" s="294"/>
      <c r="J187" s="294"/>
      <c r="K187" s="322">
        <f>+E187/H187</f>
        <v>2.264535476466786</v>
      </c>
      <c r="L187" s="322"/>
      <c r="M187" s="323"/>
    </row>
    <row r="188" spans="2:14" ht="13.8" thickBot="1">
      <c r="B188" s="309" t="s">
        <v>134</v>
      </c>
      <c r="C188" s="310"/>
      <c r="D188" s="310"/>
      <c r="E188" s="312">
        <f>+I176</f>
        <v>5.2994452197339577</v>
      </c>
      <c r="F188" s="312"/>
      <c r="G188" s="312"/>
      <c r="H188" s="321">
        <f>+$J$10</f>
        <v>1.5</v>
      </c>
      <c r="I188" s="321"/>
      <c r="J188" s="321"/>
      <c r="K188" s="324">
        <f>+E188/H188</f>
        <v>3.5329634798226386</v>
      </c>
      <c r="L188" s="324"/>
      <c r="M188" s="325"/>
    </row>
  </sheetData>
  <sheetProtection sheet="1" objects="1" scenarios="1"/>
  <mergeCells count="603">
    <mergeCell ref="A175:E175"/>
    <mergeCell ref="F176:H176"/>
    <mergeCell ref="I169:K169"/>
    <mergeCell ref="I170:K170"/>
    <mergeCell ref="I171:K171"/>
    <mergeCell ref="I172:K172"/>
    <mergeCell ref="I173:K173"/>
    <mergeCell ref="I175:K175"/>
    <mergeCell ref="L175:N175"/>
    <mergeCell ref="L176:N176"/>
    <mergeCell ref="L173:N173"/>
    <mergeCell ref="L174:N174"/>
    <mergeCell ref="L169:N169"/>
    <mergeCell ref="L170:N170"/>
    <mergeCell ref="L171:N171"/>
    <mergeCell ref="L172:N172"/>
    <mergeCell ref="I176:K176"/>
    <mergeCell ref="F169:H169"/>
    <mergeCell ref="F170:H170"/>
    <mergeCell ref="F171:H171"/>
    <mergeCell ref="A176:E176"/>
    <mergeCell ref="F160:H160"/>
    <mergeCell ref="L163:N163"/>
    <mergeCell ref="L164:N164"/>
    <mergeCell ref="L165:N165"/>
    <mergeCell ref="L166:N166"/>
    <mergeCell ref="I162:K162"/>
    <mergeCell ref="I163:K163"/>
    <mergeCell ref="I164:K164"/>
    <mergeCell ref="I165:K165"/>
    <mergeCell ref="I166:K166"/>
    <mergeCell ref="I174:K174"/>
    <mergeCell ref="A162:E162"/>
    <mergeCell ref="A163:E163"/>
    <mergeCell ref="A164:E164"/>
    <mergeCell ref="A165:E165"/>
    <mergeCell ref="A166:E166"/>
    <mergeCell ref="A167:E167"/>
    <mergeCell ref="F175:H175"/>
    <mergeCell ref="A169:E169"/>
    <mergeCell ref="A170:E170"/>
    <mergeCell ref="L167:N167"/>
    <mergeCell ref="A171:E171"/>
    <mergeCell ref="A172:E172"/>
    <mergeCell ref="I167:K167"/>
    <mergeCell ref="A174:E174"/>
    <mergeCell ref="A173:E173"/>
    <mergeCell ref="F173:H173"/>
    <mergeCell ref="A168:N168"/>
    <mergeCell ref="F162:H162"/>
    <mergeCell ref="F163:H163"/>
    <mergeCell ref="F164:H164"/>
    <mergeCell ref="F165:H165"/>
    <mergeCell ref="F174:H174"/>
    <mergeCell ref="F167:H167"/>
    <mergeCell ref="L162:N162"/>
    <mergeCell ref="F172:H172"/>
    <mergeCell ref="F166:H166"/>
    <mergeCell ref="A160:E160"/>
    <mergeCell ref="A161:E161"/>
    <mergeCell ref="L160:N160"/>
    <mergeCell ref="L161:N161"/>
    <mergeCell ref="F156:H156"/>
    <mergeCell ref="F157:H157"/>
    <mergeCell ref="I160:K160"/>
    <mergeCell ref="I161:K161"/>
    <mergeCell ref="F161:H161"/>
    <mergeCell ref="L158:N158"/>
    <mergeCell ref="A155:E158"/>
    <mergeCell ref="F158:H158"/>
    <mergeCell ref="I156:K156"/>
    <mergeCell ref="I157:K158"/>
    <mergeCell ref="L156:N156"/>
    <mergeCell ref="L157:N157"/>
    <mergeCell ref="F155:H155"/>
    <mergeCell ref="I155:K155"/>
    <mergeCell ref="L155:N155"/>
    <mergeCell ref="A159:N159"/>
    <mergeCell ref="A149:B149"/>
    <mergeCell ref="C149:D149"/>
    <mergeCell ref="E149:F149"/>
    <mergeCell ref="G149:H149"/>
    <mergeCell ref="I149:J149"/>
    <mergeCell ref="M149:N149"/>
    <mergeCell ref="I154:K154"/>
    <mergeCell ref="L154:N154"/>
    <mergeCell ref="A154:E154"/>
    <mergeCell ref="A153:N153"/>
    <mergeCell ref="F154:H154"/>
    <mergeCell ref="C146:D147"/>
    <mergeCell ref="E146:F147"/>
    <mergeCell ref="G146:H147"/>
    <mergeCell ref="I146:J147"/>
    <mergeCell ref="M146:N147"/>
    <mergeCell ref="K144:L144"/>
    <mergeCell ref="K146:L147"/>
    <mergeCell ref="K145:L145"/>
    <mergeCell ref="A148:B148"/>
    <mergeCell ref="C148:D148"/>
    <mergeCell ref="E148:F148"/>
    <mergeCell ref="G148:H148"/>
    <mergeCell ref="I148:J148"/>
    <mergeCell ref="M148:N148"/>
    <mergeCell ref="M136:N137"/>
    <mergeCell ref="I136:J137"/>
    <mergeCell ref="G136:H137"/>
    <mergeCell ref="A135:B137"/>
    <mergeCell ref="A138:B138"/>
    <mergeCell ref="A139:B139"/>
    <mergeCell ref="C138:D138"/>
    <mergeCell ref="C139:D139"/>
    <mergeCell ref="E135:F135"/>
    <mergeCell ref="E136:F137"/>
    <mergeCell ref="C135:D135"/>
    <mergeCell ref="E139:F139"/>
    <mergeCell ref="G138:H138"/>
    <mergeCell ref="G139:H139"/>
    <mergeCell ref="I138:J138"/>
    <mergeCell ref="I139:J139"/>
    <mergeCell ref="C136:D137"/>
    <mergeCell ref="M138:N138"/>
    <mergeCell ref="M139:N139"/>
    <mergeCell ref="E138:F138"/>
    <mergeCell ref="K136:L137"/>
    <mergeCell ref="K138:L138"/>
    <mergeCell ref="A133:N133"/>
    <mergeCell ref="A134:B134"/>
    <mergeCell ref="M134:N134"/>
    <mergeCell ref="C134:D134"/>
    <mergeCell ref="E134:F134"/>
    <mergeCell ref="G134:H134"/>
    <mergeCell ref="I134:J134"/>
    <mergeCell ref="F128:G128"/>
    <mergeCell ref="G135:H135"/>
    <mergeCell ref="I135:J135"/>
    <mergeCell ref="M135:N135"/>
    <mergeCell ref="K134:L134"/>
    <mergeCell ref="K135:L135"/>
    <mergeCell ref="A127:C127"/>
    <mergeCell ref="A123:C126"/>
    <mergeCell ref="D123:E124"/>
    <mergeCell ref="F127:G127"/>
    <mergeCell ref="M127:N127"/>
    <mergeCell ref="F125:G126"/>
    <mergeCell ref="A128:C128"/>
    <mergeCell ref="A129:C129"/>
    <mergeCell ref="D127:E127"/>
    <mergeCell ref="D128:E128"/>
    <mergeCell ref="D129:E129"/>
    <mergeCell ref="D125:E126"/>
    <mergeCell ref="F129:G129"/>
    <mergeCell ref="I127:J127"/>
    <mergeCell ref="I128:J128"/>
    <mergeCell ref="I129:J129"/>
    <mergeCell ref="K127:L127"/>
    <mergeCell ref="K128:L128"/>
    <mergeCell ref="K129:L129"/>
    <mergeCell ref="M128:N128"/>
    <mergeCell ref="M129:N129"/>
    <mergeCell ref="H125:H126"/>
    <mergeCell ref="I125:J126"/>
    <mergeCell ref="K123:L126"/>
    <mergeCell ref="M125:N126"/>
    <mergeCell ref="F123:G124"/>
    <mergeCell ref="H123:H124"/>
    <mergeCell ref="I123:J124"/>
    <mergeCell ref="M123:N124"/>
    <mergeCell ref="A121:N121"/>
    <mergeCell ref="A122:C122"/>
    <mergeCell ref="D122:E122"/>
    <mergeCell ref="F122:G122"/>
    <mergeCell ref="I122:J122"/>
    <mergeCell ref="K122:L122"/>
    <mergeCell ref="M122:N122"/>
    <mergeCell ref="J116:L116"/>
    <mergeCell ref="J117:L117"/>
    <mergeCell ref="M117:N117"/>
    <mergeCell ref="M110:N116"/>
    <mergeCell ref="J110:L110"/>
    <mergeCell ref="J114:L114"/>
    <mergeCell ref="J115:L115"/>
    <mergeCell ref="H110:I110"/>
    <mergeCell ref="H111:I111"/>
    <mergeCell ref="H112:I112"/>
    <mergeCell ref="H113:I113"/>
    <mergeCell ref="H114:I114"/>
    <mergeCell ref="H115:I115"/>
    <mergeCell ref="J111:L111"/>
    <mergeCell ref="F110:G110"/>
    <mergeCell ref="F111:G111"/>
    <mergeCell ref="F112:G112"/>
    <mergeCell ref="F113:G113"/>
    <mergeCell ref="F114:G114"/>
    <mergeCell ref="F115:G115"/>
    <mergeCell ref="F116:G116"/>
    <mergeCell ref="F117:G117"/>
    <mergeCell ref="H116:I116"/>
    <mergeCell ref="H117:I117"/>
    <mergeCell ref="L66:N66"/>
    <mergeCell ref="L67:N67"/>
    <mergeCell ref="L68:N68"/>
    <mergeCell ref="L69:N69"/>
    <mergeCell ref="A104:N104"/>
    <mergeCell ref="A105:C105"/>
    <mergeCell ref="D105:E105"/>
    <mergeCell ref="F105:G105"/>
    <mergeCell ref="M108:N109"/>
    <mergeCell ref="L70:N70"/>
    <mergeCell ref="H70:I70"/>
    <mergeCell ref="J66:K66"/>
    <mergeCell ref="J67:K67"/>
    <mergeCell ref="J68:K68"/>
    <mergeCell ref="F106:G107"/>
    <mergeCell ref="H105:I105"/>
    <mergeCell ref="J105:L105"/>
    <mergeCell ref="M105:N105"/>
    <mergeCell ref="H106:I107"/>
    <mergeCell ref="J106:L107"/>
    <mergeCell ref="M106:N107"/>
    <mergeCell ref="J109:L109"/>
    <mergeCell ref="H108:I109"/>
    <mergeCell ref="F108:G109"/>
    <mergeCell ref="D106:E109"/>
    <mergeCell ref="J108:L108"/>
    <mergeCell ref="J112:L112"/>
    <mergeCell ref="J113:L113"/>
    <mergeCell ref="J57:K57"/>
    <mergeCell ref="L61:N62"/>
    <mergeCell ref="L65:N65"/>
    <mergeCell ref="J65:K65"/>
    <mergeCell ref="F66:G66"/>
    <mergeCell ref="F67:G67"/>
    <mergeCell ref="F68:G68"/>
    <mergeCell ref="F69:G69"/>
    <mergeCell ref="F70:G70"/>
    <mergeCell ref="F65:G65"/>
    <mergeCell ref="J69:K69"/>
    <mergeCell ref="J70:K70"/>
    <mergeCell ref="H64:I64"/>
    <mergeCell ref="H65:I65"/>
    <mergeCell ref="H66:I66"/>
    <mergeCell ref="H67:I67"/>
    <mergeCell ref="H68:I68"/>
    <mergeCell ref="H69:I69"/>
    <mergeCell ref="A68:C68"/>
    <mergeCell ref="A65:C65"/>
    <mergeCell ref="A66:C66"/>
    <mergeCell ref="A64:C64"/>
    <mergeCell ref="A67:C67"/>
    <mergeCell ref="A69:C69"/>
    <mergeCell ref="A70:C70"/>
    <mergeCell ref="D64:E64"/>
    <mergeCell ref="D65:E65"/>
    <mergeCell ref="D66:E66"/>
    <mergeCell ref="D67:E67"/>
    <mergeCell ref="D68:E68"/>
    <mergeCell ref="D69:E69"/>
    <mergeCell ref="D70:E70"/>
    <mergeCell ref="D63:E63"/>
    <mergeCell ref="H63:I63"/>
    <mergeCell ref="A63:C63"/>
    <mergeCell ref="F63:G63"/>
    <mergeCell ref="J63:K63"/>
    <mergeCell ref="L63:N63"/>
    <mergeCell ref="A51:B52"/>
    <mergeCell ref="I52:J52"/>
    <mergeCell ref="F64:G64"/>
    <mergeCell ref="J64:K64"/>
    <mergeCell ref="L64:N64"/>
    <mergeCell ref="L58:N60"/>
    <mergeCell ref="I51:J51"/>
    <mergeCell ref="G51:H52"/>
    <mergeCell ref="K51:K52"/>
    <mergeCell ref="L51:L52"/>
    <mergeCell ref="A56:N56"/>
    <mergeCell ref="F57:G57"/>
    <mergeCell ref="A57:C57"/>
    <mergeCell ref="A58:C62"/>
    <mergeCell ref="H58:I60"/>
    <mergeCell ref="J58:K60"/>
    <mergeCell ref="H61:I62"/>
    <mergeCell ref="J61:K62"/>
    <mergeCell ref="F61:G62"/>
    <mergeCell ref="F58:G60"/>
    <mergeCell ref="D58:E60"/>
    <mergeCell ref="D61:E62"/>
    <mergeCell ref="M51:M52"/>
    <mergeCell ref="N49:N50"/>
    <mergeCell ref="N51:N52"/>
    <mergeCell ref="I49:J49"/>
    <mergeCell ref="I48:J48"/>
    <mergeCell ref="I50:J50"/>
    <mergeCell ref="M49:M50"/>
    <mergeCell ref="D57:E57"/>
    <mergeCell ref="H57:I57"/>
    <mergeCell ref="L57:N57"/>
    <mergeCell ref="A18:G18"/>
    <mergeCell ref="H18:I18"/>
    <mergeCell ref="J18:N18"/>
    <mergeCell ref="A23:G23"/>
    <mergeCell ref="A20:G20"/>
    <mergeCell ref="A21:G21"/>
    <mergeCell ref="H22:I22"/>
    <mergeCell ref="H23:I23"/>
    <mergeCell ref="J33:L33"/>
    <mergeCell ref="A32:N32"/>
    <mergeCell ref="A33:B33"/>
    <mergeCell ref="C33:E33"/>
    <mergeCell ref="F33:G33"/>
    <mergeCell ref="H28:I28"/>
    <mergeCell ref="J28:N28"/>
    <mergeCell ref="H33:I33"/>
    <mergeCell ref="J25:N25"/>
    <mergeCell ref="A19:G19"/>
    <mergeCell ref="H19:I19"/>
    <mergeCell ref="J19:N19"/>
    <mergeCell ref="A24:G24"/>
    <mergeCell ref="A25:G25"/>
    <mergeCell ref="A26:G26"/>
    <mergeCell ref="J20:N20"/>
    <mergeCell ref="A17:G17"/>
    <mergeCell ref="H17:I17"/>
    <mergeCell ref="J17:N17"/>
    <mergeCell ref="A15:G15"/>
    <mergeCell ref="H15:I15"/>
    <mergeCell ref="J15:N15"/>
    <mergeCell ref="A16:G16"/>
    <mergeCell ref="H16:I16"/>
    <mergeCell ref="J16:N16"/>
    <mergeCell ref="A14:G14"/>
    <mergeCell ref="H14:I14"/>
    <mergeCell ref="J14:N14"/>
    <mergeCell ref="A13:G13"/>
    <mergeCell ref="J13:N13"/>
    <mergeCell ref="J12:N12"/>
    <mergeCell ref="A12:G12"/>
    <mergeCell ref="H12:I12"/>
    <mergeCell ref="A11:C11"/>
    <mergeCell ref="A10:G10"/>
    <mergeCell ref="H10:I10"/>
    <mergeCell ref="J10:N10"/>
    <mergeCell ref="H13:I13"/>
    <mergeCell ref="A9:G9"/>
    <mergeCell ref="H9:I9"/>
    <mergeCell ref="J9:N9"/>
    <mergeCell ref="H11:I11"/>
    <mergeCell ref="J11:N11"/>
    <mergeCell ref="H6:J6"/>
    <mergeCell ref="K6:N6"/>
    <mergeCell ref="A6:C6"/>
    <mergeCell ref="E6:G6"/>
    <mergeCell ref="A8:G8"/>
    <mergeCell ref="H8:I8"/>
    <mergeCell ref="J8:N8"/>
    <mergeCell ref="A7:C7"/>
    <mergeCell ref="E7:G7"/>
    <mergeCell ref="H7:J7"/>
    <mergeCell ref="K7:N7"/>
    <mergeCell ref="A2:N2"/>
    <mergeCell ref="A3:G3"/>
    <mergeCell ref="H3:N3"/>
    <mergeCell ref="A5:C5"/>
    <mergeCell ref="E5:G5"/>
    <mergeCell ref="H5:J5"/>
    <mergeCell ref="K5:N5"/>
    <mergeCell ref="A4:C4"/>
    <mergeCell ref="E4:G4"/>
    <mergeCell ref="H4:J4"/>
    <mergeCell ref="K4:N4"/>
    <mergeCell ref="J21:N21"/>
    <mergeCell ref="H20:I20"/>
    <mergeCell ref="A22:G22"/>
    <mergeCell ref="J26:N26"/>
    <mergeCell ref="J22:N22"/>
    <mergeCell ref="J23:N23"/>
    <mergeCell ref="H26:I26"/>
    <mergeCell ref="H21:I21"/>
    <mergeCell ref="H24:I24"/>
    <mergeCell ref="H25:I25"/>
    <mergeCell ref="J24:N24"/>
    <mergeCell ref="J27:N27"/>
    <mergeCell ref="A43:B43"/>
    <mergeCell ref="A42:N42"/>
    <mergeCell ref="E43:F43"/>
    <mergeCell ref="G43:H43"/>
    <mergeCell ref="I43:J43"/>
    <mergeCell ref="M33:N33"/>
    <mergeCell ref="M34:N35"/>
    <mergeCell ref="H27:I27"/>
    <mergeCell ref="A38:B38"/>
    <mergeCell ref="C38:E38"/>
    <mergeCell ref="F34:G35"/>
    <mergeCell ref="C40:E40"/>
    <mergeCell ref="H34:I35"/>
    <mergeCell ref="A37:B37"/>
    <mergeCell ref="C37:E37"/>
    <mergeCell ref="F37:G37"/>
    <mergeCell ref="H37:I37"/>
    <mergeCell ref="A36:B36"/>
    <mergeCell ref="A34:B35"/>
    <mergeCell ref="C34:E35"/>
    <mergeCell ref="J37:L37"/>
    <mergeCell ref="A27:G27"/>
    <mergeCell ref="A28:G28"/>
    <mergeCell ref="C51:C52"/>
    <mergeCell ref="D51:D52"/>
    <mergeCell ref="E51:F52"/>
    <mergeCell ref="K44:K45"/>
    <mergeCell ref="A48:B48"/>
    <mergeCell ref="A49:B50"/>
    <mergeCell ref="C49:C50"/>
    <mergeCell ref="D49:D50"/>
    <mergeCell ref="G48:H48"/>
    <mergeCell ref="K49:K50"/>
    <mergeCell ref="A44:B47"/>
    <mergeCell ref="J34:L35"/>
    <mergeCell ref="F38:G38"/>
    <mergeCell ref="C43:D43"/>
    <mergeCell ref="G49:H50"/>
    <mergeCell ref="L49:L50"/>
    <mergeCell ref="G46:H47"/>
    <mergeCell ref="K46:K47"/>
    <mergeCell ref="E49:F50"/>
    <mergeCell ref="E48:F48"/>
    <mergeCell ref="N46:N47"/>
    <mergeCell ref="M36:N36"/>
    <mergeCell ref="C36:E36"/>
    <mergeCell ref="F36:G36"/>
    <mergeCell ref="H36:I36"/>
    <mergeCell ref="J36:L36"/>
    <mergeCell ref="M37:N37"/>
    <mergeCell ref="M38:N38"/>
    <mergeCell ref="N44:N45"/>
    <mergeCell ref="C44:D45"/>
    <mergeCell ref="G44:H45"/>
    <mergeCell ref="I44:J47"/>
    <mergeCell ref="M44:M47"/>
    <mergeCell ref="C46:D46"/>
    <mergeCell ref="E44:F45"/>
    <mergeCell ref="L44:L45"/>
    <mergeCell ref="E46:F46"/>
    <mergeCell ref="E47:F47"/>
    <mergeCell ref="L46:L47"/>
    <mergeCell ref="H38:I38"/>
    <mergeCell ref="J38:L38"/>
    <mergeCell ref="A74:N74"/>
    <mergeCell ref="A75:B75"/>
    <mergeCell ref="C75:D75"/>
    <mergeCell ref="E75:F75"/>
    <mergeCell ref="G75:H75"/>
    <mergeCell ref="I75:J75"/>
    <mergeCell ref="I76:J79"/>
    <mergeCell ref="K76:K77"/>
    <mergeCell ref="C78:D78"/>
    <mergeCell ref="G78:H79"/>
    <mergeCell ref="K78:K79"/>
    <mergeCell ref="E78:F78"/>
    <mergeCell ref="E79:F79"/>
    <mergeCell ref="L78:L79"/>
    <mergeCell ref="N78:N79"/>
    <mergeCell ref="A80:B80"/>
    <mergeCell ref="E80:F80"/>
    <mergeCell ref="G80:H80"/>
    <mergeCell ref="I80:J80"/>
    <mergeCell ref="A76:B79"/>
    <mergeCell ref="C76:D77"/>
    <mergeCell ref="E76:F77"/>
    <mergeCell ref="G76:H77"/>
    <mergeCell ref="M81:M82"/>
    <mergeCell ref="N81:N82"/>
    <mergeCell ref="I82:J82"/>
    <mergeCell ref="A83:B84"/>
    <mergeCell ref="C83:C84"/>
    <mergeCell ref="D83:D84"/>
    <mergeCell ref="E83:F84"/>
    <mergeCell ref="G83:H84"/>
    <mergeCell ref="A81:B82"/>
    <mergeCell ref="C81:C82"/>
    <mergeCell ref="D81:D82"/>
    <mergeCell ref="E81:F82"/>
    <mergeCell ref="G81:H82"/>
    <mergeCell ref="I81:J81"/>
    <mergeCell ref="D89:E89"/>
    <mergeCell ref="F89:G89"/>
    <mergeCell ref="H89:I89"/>
    <mergeCell ref="J89:K89"/>
    <mergeCell ref="H95:I95"/>
    <mergeCell ref="J95:K95"/>
    <mergeCell ref="L89:N89"/>
    <mergeCell ref="L76:L77"/>
    <mergeCell ref="M76:M79"/>
    <mergeCell ref="N76:N77"/>
    <mergeCell ref="F93:G94"/>
    <mergeCell ref="H93:I94"/>
    <mergeCell ref="J93:K94"/>
    <mergeCell ref="L93:N94"/>
    <mergeCell ref="A88:N88"/>
    <mergeCell ref="A89:C89"/>
    <mergeCell ref="I83:J83"/>
    <mergeCell ref="K83:K84"/>
    <mergeCell ref="L83:L84"/>
    <mergeCell ref="M83:M84"/>
    <mergeCell ref="N83:N84"/>
    <mergeCell ref="I84:J84"/>
    <mergeCell ref="K81:K82"/>
    <mergeCell ref="L81:L82"/>
    <mergeCell ref="A95:C95"/>
    <mergeCell ref="D95:E95"/>
    <mergeCell ref="F95:G95"/>
    <mergeCell ref="L95:N95"/>
    <mergeCell ref="H90:I92"/>
    <mergeCell ref="J90:K92"/>
    <mergeCell ref="L90:N92"/>
    <mergeCell ref="A90:C94"/>
    <mergeCell ref="D90:E92"/>
    <mergeCell ref="F90:G92"/>
    <mergeCell ref="D93:E94"/>
    <mergeCell ref="F98:G98"/>
    <mergeCell ref="H98:I98"/>
    <mergeCell ref="J98:K98"/>
    <mergeCell ref="L98:N98"/>
    <mergeCell ref="A99:C99"/>
    <mergeCell ref="H96:I96"/>
    <mergeCell ref="J96:K96"/>
    <mergeCell ref="L96:N96"/>
    <mergeCell ref="A97:C97"/>
    <mergeCell ref="D97:E97"/>
    <mergeCell ref="F97:G97"/>
    <mergeCell ref="H97:I97"/>
    <mergeCell ref="J97:K97"/>
    <mergeCell ref="L97:N97"/>
    <mergeCell ref="A96:C96"/>
    <mergeCell ref="D96:E96"/>
    <mergeCell ref="F96:G96"/>
    <mergeCell ref="D114:E114"/>
    <mergeCell ref="D115:E115"/>
    <mergeCell ref="A111:C111"/>
    <mergeCell ref="A112:C112"/>
    <mergeCell ref="A113:C113"/>
    <mergeCell ref="D116:E116"/>
    <mergeCell ref="D117:E117"/>
    <mergeCell ref="A98:C98"/>
    <mergeCell ref="D98:E98"/>
    <mergeCell ref="A106:C109"/>
    <mergeCell ref="A110:C110"/>
    <mergeCell ref="B188:D188"/>
    <mergeCell ref="E186:G186"/>
    <mergeCell ref="E187:G187"/>
    <mergeCell ref="E188:G188"/>
    <mergeCell ref="K182:M184"/>
    <mergeCell ref="K185:M185"/>
    <mergeCell ref="H188:J188"/>
    <mergeCell ref="K186:M186"/>
    <mergeCell ref="K187:M187"/>
    <mergeCell ref="K188:M188"/>
    <mergeCell ref="D99:E99"/>
    <mergeCell ref="F99:G99"/>
    <mergeCell ref="B181:D181"/>
    <mergeCell ref="B182:D185"/>
    <mergeCell ref="E181:G181"/>
    <mergeCell ref="H181:J181"/>
    <mergeCell ref="B180:M180"/>
    <mergeCell ref="A100:C100"/>
    <mergeCell ref="D100:E100"/>
    <mergeCell ref="F100:G100"/>
    <mergeCell ref="H100:I100"/>
    <mergeCell ref="J100:K100"/>
    <mergeCell ref="L100:N100"/>
    <mergeCell ref="H99:I99"/>
    <mergeCell ref="J99:K99"/>
    <mergeCell ref="L99:N99"/>
    <mergeCell ref="A115:C115"/>
    <mergeCell ref="A116:C116"/>
    <mergeCell ref="A117:C117"/>
    <mergeCell ref="D110:E110"/>
    <mergeCell ref="D111:E111"/>
    <mergeCell ref="D112:E112"/>
    <mergeCell ref="D113:E113"/>
    <mergeCell ref="A114:C114"/>
    <mergeCell ref="K139:L139"/>
    <mergeCell ref="K148:L148"/>
    <mergeCell ref="K149:L149"/>
    <mergeCell ref="K181:M181"/>
    <mergeCell ref="E182:G184"/>
    <mergeCell ref="H182:J185"/>
    <mergeCell ref="E185:G185"/>
    <mergeCell ref="B186:D186"/>
    <mergeCell ref="B187:D187"/>
    <mergeCell ref="H186:J186"/>
    <mergeCell ref="H187:J187"/>
    <mergeCell ref="A143:N143"/>
    <mergeCell ref="A144:B144"/>
    <mergeCell ref="C144:D144"/>
    <mergeCell ref="E144:F144"/>
    <mergeCell ref="G144:H144"/>
    <mergeCell ref="I144:J144"/>
    <mergeCell ref="M144:N144"/>
    <mergeCell ref="A145:B147"/>
    <mergeCell ref="C145:D145"/>
    <mergeCell ref="E145:F145"/>
    <mergeCell ref="G145:H145"/>
    <mergeCell ref="I145:J145"/>
    <mergeCell ref="M145:N145"/>
  </mergeCells>
  <conditionalFormatting sqref="A15:N15">
    <cfRule type="expression" dxfId="90" priority="8">
      <formula>OR($J$9="2U",$J$9="4U")</formula>
    </cfRule>
    <cfRule type="expression" dxfId="89" priority="9">
      <formula>OR($J$9="3T",$J$9="4D",$J$9="5T")</formula>
    </cfRule>
  </conditionalFormatting>
  <conditionalFormatting sqref="J11:N11">
    <cfRule type="cellIs" dxfId="88" priority="10" stopIfTrue="1" operator="greaterThan">
      <formula>$F$11</formula>
    </cfRule>
  </conditionalFormatting>
  <conditionalFormatting sqref="J14:N14">
    <cfRule type="expression" dxfId="87" priority="3">
      <formula>J13&lt;&gt;"None"</formula>
    </cfRule>
    <cfRule type="expression" dxfId="86" priority="4">
      <formula>J13="None"</formula>
    </cfRule>
  </conditionalFormatting>
  <conditionalFormatting sqref="J15:N15">
    <cfRule type="expression" dxfId="85" priority="6">
      <formula>OR($J$9="2U",$J$9="4U")</formula>
    </cfRule>
    <cfRule type="expression" dxfId="84" priority="7">
      <formula>OR($J$9="3T",$J$9="4D",$J$9="5T")</formula>
    </cfRule>
  </conditionalFormatting>
  <conditionalFormatting sqref="J27:N27">
    <cfRule type="expression" dxfId="83" priority="1">
      <formula>J26&lt;&gt;0</formula>
    </cfRule>
    <cfRule type="expression" dxfId="82" priority="2">
      <formula>J26=0</formula>
    </cfRule>
  </conditionalFormatting>
  <conditionalFormatting sqref="O11">
    <cfRule type="expression" dxfId="81" priority="5">
      <formula>J11&gt;F11</formula>
    </cfRule>
  </conditionalFormatting>
  <dataValidations count="14">
    <dataValidation type="decimal" allowBlank="1" showInputMessage="1" showErrorMessage="1" sqref="J28:N28 P28" xr:uid="{00000000-0002-0000-0100-000000000000}">
      <formula1>0</formula1>
      <formula2>10</formula2>
    </dataValidation>
    <dataValidation type="list" allowBlank="1" showInputMessage="1" showErrorMessage="1" sqref="J15:N15" xr:uid="{00000000-0002-0000-0100-000001000000}">
      <formula1>UMedWidth</formula1>
    </dataValidation>
    <dataValidation type="list" operator="greaterThan" allowBlank="1" showInputMessage="1" showErrorMessage="1" sqref="J9:N9" xr:uid="{00000000-0002-0000-0100-000002000000}">
      <formula1>RType</formula1>
    </dataValidation>
    <dataValidation type="decimal" operator="greaterThan" allowBlank="1" showInputMessage="1" showErrorMessage="1" sqref="J10:N10 P10" xr:uid="{00000000-0002-0000-0100-000003000000}">
      <formula1>0</formula1>
    </dataValidation>
    <dataValidation type="decimal" operator="lessThanOrEqual" allowBlank="1" showInputMessage="1" showErrorMessage="1" sqref="J14:N14" xr:uid="{00000000-0002-0000-0100-000004000000}">
      <formula1>1</formula1>
    </dataValidation>
    <dataValidation type="whole" allowBlank="1" showInputMessage="1" showErrorMessage="1" sqref="P11:P17 J11:N11" xr:uid="{00000000-0002-0000-0100-000005000000}">
      <formula1>0</formula1>
      <formula2>66000</formula2>
    </dataValidation>
    <dataValidation type="whole" operator="greaterThan" allowBlank="1" showInputMessage="1" showErrorMessage="1" sqref="K7:P7" xr:uid="{00000000-0002-0000-0100-000006000000}">
      <formula1>1990</formula1>
    </dataValidation>
    <dataValidation type="list" allowBlank="1" showInputMessage="1" showErrorMessage="1" sqref="J16:N17" xr:uid="{00000000-0002-0000-0100-000007000000}">
      <formula1>PresOrNot</formula1>
    </dataValidation>
    <dataValidation type="list" allowBlank="1" showInputMessage="1" showErrorMessage="1" sqref="J13:N13" xr:uid="{00000000-0002-0000-0100-000008000000}">
      <formula1>OnStreetType</formula1>
    </dataValidation>
    <dataValidation type="decimal" operator="greaterThanOrEqual" allowBlank="1" showInputMessage="1" showErrorMessage="1" sqref="J26:N26 P26:P27" xr:uid="{00000000-0002-0000-0100-00000A000000}">
      <formula1>0</formula1>
    </dataValidation>
    <dataValidation type="whole" operator="greaterThanOrEqual" allowBlank="1" showInputMessage="1" showErrorMessage="1" sqref="J18:N24" xr:uid="{00000000-0002-0000-0100-00000B000000}">
      <formula1>0</formula1>
    </dataValidation>
    <dataValidation type="list" allowBlank="1" showInputMessage="1" showErrorMessage="1" sqref="J25:N25" xr:uid="{00000000-0002-0000-0100-00000C000000}">
      <formula1>Posted</formula1>
    </dataValidation>
    <dataValidation type="whole" allowBlank="1" showInputMessage="1" showErrorMessage="1" sqref="J27:N27" xr:uid="{00000000-0002-0000-0100-00000D000000}">
      <formula1>2</formula1>
      <formula2>30</formula2>
    </dataValidation>
    <dataValidation type="list" allowBlank="1" showInputMessage="1" showErrorMessage="1" sqref="J12:N12" xr:uid="{00000000-0002-0000-0100-00000E000000}">
      <formula1>District</formula1>
    </dataValidation>
  </dataValidations>
  <hyperlinks>
    <hyperlink ref="D11" r:id="rId1" xr:uid="{F3685E3E-0126-4E43-BDE7-42D72468DC26}"/>
  </hyperlinks>
  <pageMargins left="0.7" right="0.7" top="0.75" bottom="0.75" header="0.3" footer="0.3"/>
  <pageSetup scale="76" fitToHeight="4" orientation="landscape" r:id="rId2"/>
  <headerFooter>
    <oddHeader>&amp;CHSM Urban and Suburban Arterial Predictive Method</oddHeader>
    <oddFooter>&amp;R&amp;P</oddFooter>
  </headerFooter>
  <rowBreaks count="2" manualBreakCount="2">
    <brk id="102" max="13" man="1"/>
    <brk id="151" max="13"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88"/>
  <sheetViews>
    <sheetView zoomScaleNormal="100" workbookViewId="0">
      <selection activeCell="E4" sqref="E4:G4"/>
    </sheetView>
  </sheetViews>
  <sheetFormatPr defaultRowHeight="13.2"/>
  <cols>
    <col min="1" max="1" width="13.109375" customWidth="1"/>
    <col min="2" max="2" width="14.33203125" customWidth="1"/>
    <col min="3" max="4" width="11.5546875" customWidth="1"/>
    <col min="5" max="5" width="11.109375" customWidth="1"/>
    <col min="6" max="6" width="12.33203125" customWidth="1"/>
    <col min="8" max="8" width="12.109375" customWidth="1"/>
    <col min="9" max="9" width="11" customWidth="1"/>
    <col min="11" max="11" width="11.6640625" customWidth="1"/>
    <col min="12" max="12" width="13.6640625" customWidth="1"/>
    <col min="13" max="13" width="12.33203125" customWidth="1"/>
    <col min="14" max="15" width="11.33203125" customWidth="1"/>
    <col min="16" max="16" width="22" customWidth="1"/>
    <col min="17" max="17" width="24.88671875" customWidth="1"/>
    <col min="18" max="18" width="15.88671875" customWidth="1"/>
    <col min="19" max="20" width="16.33203125" customWidth="1"/>
    <col min="21" max="21" width="15.88671875" customWidth="1"/>
    <col min="22" max="22" width="18" customWidth="1"/>
    <col min="23" max="23" width="14.6640625" customWidth="1"/>
    <col min="24" max="24" width="16.33203125" customWidth="1"/>
    <col min="25" max="25" width="14.6640625" customWidth="1"/>
    <col min="26" max="26" width="18.109375" customWidth="1"/>
    <col min="27" max="33" width="14.6640625" customWidth="1"/>
    <col min="34" max="34" width="14.44140625" customWidth="1"/>
    <col min="35" max="36" width="14.6640625" customWidth="1"/>
    <col min="37" max="37" width="11.5546875" customWidth="1"/>
    <col min="38" max="38" width="9.109375" customWidth="1"/>
    <col min="40" max="40" width="11.33203125" customWidth="1"/>
    <col min="41" max="41" width="11" customWidth="1"/>
    <col min="42" max="42" width="12" customWidth="1"/>
    <col min="43" max="43" width="13.33203125" customWidth="1"/>
    <col min="44" max="44" width="10.33203125" customWidth="1"/>
    <col min="45" max="45" width="11.6640625" customWidth="1"/>
    <col min="46" max="46" width="10.6640625" customWidth="1"/>
    <col min="47" max="47" width="13.33203125" customWidth="1"/>
    <col min="48" max="48" width="10" customWidth="1"/>
    <col min="49" max="49" width="13.33203125" customWidth="1"/>
    <col min="54" max="54" width="12.109375" customWidth="1"/>
    <col min="55" max="55" width="12.5546875" customWidth="1"/>
    <col min="56" max="57" width="12.33203125" customWidth="1"/>
    <col min="60" max="60" width="10.109375" customWidth="1"/>
  </cols>
  <sheetData>
    <row r="1" spans="1:78" ht="13.8" thickBot="1">
      <c r="AM1" s="6"/>
      <c r="AP1" s="1"/>
      <c r="AV1" s="7"/>
    </row>
    <row r="2" spans="1:78" ht="12.75" customHeight="1" thickTop="1" thickBot="1">
      <c r="A2" s="302" t="s">
        <v>165</v>
      </c>
      <c r="B2" s="358"/>
      <c r="C2" s="358"/>
      <c r="D2" s="358"/>
      <c r="E2" s="405"/>
      <c r="F2" s="405"/>
      <c r="G2" s="405"/>
      <c r="H2" s="405"/>
      <c r="I2" s="405"/>
      <c r="J2" s="405"/>
      <c r="K2" s="405"/>
      <c r="L2" s="405"/>
      <c r="M2" s="405"/>
      <c r="N2" s="405"/>
      <c r="BN2" s="5"/>
      <c r="BO2" s="5"/>
      <c r="BP2" s="5"/>
      <c r="BQ2" s="5"/>
      <c r="BV2" s="5"/>
      <c r="BW2" s="5"/>
      <c r="BX2" s="5"/>
      <c r="BY2" s="5"/>
      <c r="BZ2" s="5"/>
    </row>
    <row r="3" spans="1:78">
      <c r="A3" s="282" t="s">
        <v>0</v>
      </c>
      <c r="B3" s="442"/>
      <c r="C3" s="442"/>
      <c r="D3" s="442"/>
      <c r="E3" s="442"/>
      <c r="F3" s="442"/>
      <c r="G3" s="455"/>
      <c r="H3" s="456" t="s">
        <v>7</v>
      </c>
      <c r="I3" s="457"/>
      <c r="J3" s="457"/>
      <c r="K3" s="457"/>
      <c r="L3" s="457"/>
      <c r="M3" s="457"/>
      <c r="N3" s="457"/>
      <c r="O3" s="1"/>
      <c r="P3" s="1"/>
      <c r="T3" t="s">
        <v>539</v>
      </c>
      <c r="Y3" t="s">
        <v>540</v>
      </c>
      <c r="BN3" s="5"/>
      <c r="BO3" s="5"/>
      <c r="BP3" s="5"/>
      <c r="BQ3" s="5"/>
      <c r="BV3" s="5"/>
      <c r="BW3" s="5"/>
      <c r="BX3" s="5"/>
      <c r="BY3" s="5"/>
      <c r="BZ3" s="5"/>
    </row>
    <row r="4" spans="1:78" ht="12.75" customHeight="1">
      <c r="A4" s="462" t="s">
        <v>1</v>
      </c>
      <c r="B4" s="462"/>
      <c r="C4" s="462"/>
      <c r="D4" s="18"/>
      <c r="E4" s="463" t="s">
        <v>647</v>
      </c>
      <c r="F4" s="464"/>
      <c r="G4" s="465"/>
      <c r="H4" s="466" t="s">
        <v>8</v>
      </c>
      <c r="I4" s="462"/>
      <c r="J4" s="467"/>
      <c r="K4" s="463" t="s">
        <v>162</v>
      </c>
      <c r="L4" s="464"/>
      <c r="M4" s="464"/>
      <c r="N4" s="464"/>
      <c r="BN4" s="5"/>
      <c r="BO4" s="5"/>
      <c r="BP4" s="5"/>
      <c r="BQ4" s="5"/>
      <c r="BV4" s="8"/>
      <c r="BW4" s="8"/>
      <c r="BX4" s="5"/>
      <c r="BY4" s="5"/>
      <c r="BZ4" s="5"/>
    </row>
    <row r="5" spans="1:78" ht="15.6">
      <c r="A5" s="442" t="s">
        <v>2</v>
      </c>
      <c r="B5" s="442"/>
      <c r="C5" s="442"/>
      <c r="D5" s="14"/>
      <c r="E5" s="458" t="s">
        <v>648</v>
      </c>
      <c r="F5" s="459"/>
      <c r="G5" s="460"/>
      <c r="H5" s="461" t="s">
        <v>9</v>
      </c>
      <c r="I5" s="442"/>
      <c r="J5" s="455"/>
      <c r="K5" s="458" t="s">
        <v>538</v>
      </c>
      <c r="L5" s="459"/>
      <c r="M5" s="459"/>
      <c r="N5" s="459"/>
      <c r="T5" s="39" t="s">
        <v>350</v>
      </c>
      <c r="V5" s="3">
        <f>POWER($J$27,-0.614)*0.3566</f>
        <v>7.7546830816241197E-2</v>
      </c>
      <c r="BN5" s="5"/>
      <c r="BO5" s="5"/>
      <c r="BP5" s="5"/>
      <c r="BQ5" s="5"/>
      <c r="BR5" s="5"/>
      <c r="BS5" s="5"/>
      <c r="BV5" s="8"/>
      <c r="BW5" s="8"/>
      <c r="BX5" s="5"/>
      <c r="BY5" s="5"/>
      <c r="BZ5" s="5"/>
    </row>
    <row r="6" spans="1:78" ht="15.6">
      <c r="A6" s="442" t="s">
        <v>3</v>
      </c>
      <c r="B6" s="442"/>
      <c r="C6" s="442"/>
      <c r="D6" s="14"/>
      <c r="E6" s="468">
        <f ca="1">TODAY()</f>
        <v>45350</v>
      </c>
      <c r="F6" s="469"/>
      <c r="G6" s="470"/>
      <c r="H6" s="461" t="s">
        <v>10</v>
      </c>
      <c r="I6" s="442"/>
      <c r="J6" s="455"/>
      <c r="K6" s="458" t="s">
        <v>164</v>
      </c>
      <c r="L6" s="459"/>
      <c r="M6" s="459"/>
      <c r="N6" s="459"/>
      <c r="T6" s="91"/>
      <c r="U6" s="91"/>
      <c r="V6" s="91"/>
      <c r="Y6" s="96" t="s">
        <v>219</v>
      </c>
      <c r="Z6" s="3">
        <f>IF('Segment Tables'!$D$147="No",(VLOOKUP($J$9,'Segment Tables'!$B$149:$R$153,4,FALSE)),(VLOOKUP($J$9,'Segment Tables'!$B$149:$R$153,9,FALSE)))</f>
        <v>0.36399999999999999</v>
      </c>
      <c r="AA6" s="22"/>
      <c r="BN6" s="22"/>
      <c r="BO6" s="22"/>
      <c r="BP6" s="22"/>
      <c r="BQ6" s="22"/>
      <c r="BR6" s="22"/>
      <c r="BS6" s="22"/>
      <c r="BV6" s="9"/>
      <c r="BW6" s="1"/>
      <c r="BX6" s="22"/>
      <c r="BY6" s="22"/>
      <c r="BZ6" s="22"/>
    </row>
    <row r="7" spans="1:78">
      <c r="A7" s="473"/>
      <c r="B7" s="473"/>
      <c r="C7" s="473"/>
      <c r="D7" s="19"/>
      <c r="E7" s="461"/>
      <c r="F7" s="442"/>
      <c r="G7" s="455"/>
      <c r="H7" s="461" t="s">
        <v>11</v>
      </c>
      <c r="I7" s="442"/>
      <c r="J7" s="455"/>
      <c r="K7" s="474">
        <v>2010</v>
      </c>
      <c r="L7" s="475"/>
      <c r="M7" s="475"/>
      <c r="N7" s="475"/>
      <c r="T7" s="91"/>
      <c r="U7" s="91"/>
      <c r="V7" s="91"/>
      <c r="BN7" s="22"/>
      <c r="BO7" s="22"/>
      <c r="BP7" s="22"/>
      <c r="BQ7" s="22"/>
      <c r="BR7" s="22"/>
      <c r="BS7" s="22"/>
      <c r="BV7" s="1"/>
      <c r="BW7" s="1"/>
      <c r="BX7" s="22"/>
      <c r="BY7" s="22"/>
      <c r="BZ7" s="22"/>
    </row>
    <row r="8" spans="1:78" ht="15.6">
      <c r="A8" s="471" t="s">
        <v>4</v>
      </c>
      <c r="B8" s="449"/>
      <c r="C8" s="449"/>
      <c r="D8" s="449"/>
      <c r="E8" s="449"/>
      <c r="F8" s="449"/>
      <c r="G8" s="336"/>
      <c r="H8" s="472" t="s">
        <v>12</v>
      </c>
      <c r="I8" s="336"/>
      <c r="J8" s="472" t="s">
        <v>14</v>
      </c>
      <c r="K8" s="449"/>
      <c r="L8" s="449"/>
      <c r="M8" s="449"/>
      <c r="N8" s="449"/>
      <c r="T8" s="20" t="s">
        <v>351</v>
      </c>
      <c r="V8" s="11">
        <f>$V$5*$J$26*(IF('Segment Tables'!$D$133="No",(VLOOKUP($J$9,'Segment Tables'!$B$135:$H$139,4,FALSE)),(VLOOKUP($J$9,'Segment Tables'!$B$135:$H$139,6,FALSE))))+(1-(IF('Segment Tables'!$D$133="No",(VLOOKUP($J$9,'Segment Tables'!$B$135:$H$139,4,FALSE)),(VLOOKUP($J$9,'Segment Tables'!$B$135:$H$139,6,FALSE)))))</f>
        <v>1.0198337181876935</v>
      </c>
      <c r="Y8" s="96" t="s">
        <v>220</v>
      </c>
      <c r="Z8" s="3">
        <f>IF('Segment Tables'!$D$147="No",(VLOOKUP($J$9,'Segment Tables'!$B$149:$R$153,6,FALSE)),(VLOOKUP($J$9,'Segment Tables'!$B$149:$R$153,11,FALSE)))</f>
        <v>0.63600000000000001</v>
      </c>
      <c r="BN8" s="22"/>
      <c r="BO8" s="22"/>
      <c r="BP8" s="22"/>
      <c r="BQ8" s="22"/>
      <c r="BR8" s="22"/>
      <c r="BS8" s="22"/>
      <c r="BV8" s="9"/>
      <c r="BW8" s="1"/>
      <c r="BX8" s="22"/>
      <c r="BY8" s="22"/>
      <c r="BZ8" s="22"/>
    </row>
    <row r="9" spans="1:78">
      <c r="A9" s="448" t="s">
        <v>649</v>
      </c>
      <c r="B9" s="449"/>
      <c r="C9" s="449"/>
      <c r="D9" s="449"/>
      <c r="E9" s="449"/>
      <c r="F9" s="449"/>
      <c r="G9" s="336"/>
      <c r="H9" s="478" t="s">
        <v>13</v>
      </c>
      <c r="I9" s="467"/>
      <c r="J9" s="479" t="s">
        <v>104</v>
      </c>
      <c r="K9" s="480"/>
      <c r="L9" s="480"/>
      <c r="M9" s="480"/>
      <c r="N9" s="480"/>
      <c r="O9" t="str">
        <f>IF($J$9="2U","Two-lane undivided arterial",IF($J$9="3T","Three-lane arterial including a center two-way left-turn lane (TWLTL)", IF($J$9="4U","Four-lane undivided arterial", IF($J$9="4D", "Four-lane divided arterial (i.e., including a raised or depressed median)","Five-lane arterial including a center two-way left-turn lane (TWLTL)"))))</f>
        <v>Four-lane divided arterial (i.e., including a raised or depressed median)</v>
      </c>
      <c r="T9" s="5"/>
      <c r="U9" s="5"/>
      <c r="V9" s="5"/>
      <c r="BN9" s="22"/>
      <c r="BO9" s="22"/>
      <c r="BP9" s="22"/>
      <c r="BQ9" s="22"/>
      <c r="BR9" s="22"/>
      <c r="BS9" s="22"/>
      <c r="BV9" s="1"/>
      <c r="BW9" s="1"/>
      <c r="BX9" s="22"/>
      <c r="BY9" s="22"/>
      <c r="BZ9" s="22"/>
    </row>
    <row r="10" spans="1:78" ht="16.2" thickBot="1">
      <c r="A10" s="449" t="s">
        <v>5</v>
      </c>
      <c r="B10" s="449"/>
      <c r="C10" s="449"/>
      <c r="D10" s="449"/>
      <c r="E10" s="449"/>
      <c r="F10" s="449"/>
      <c r="G10" s="336"/>
      <c r="H10" s="454" t="s">
        <v>13</v>
      </c>
      <c r="I10" s="336"/>
      <c r="J10" s="476">
        <v>0.75</v>
      </c>
      <c r="K10" s="477"/>
      <c r="L10" s="477"/>
      <c r="M10" s="477"/>
      <c r="N10" s="477"/>
      <c r="T10" s="20" t="s">
        <v>352</v>
      </c>
      <c r="U10" s="5"/>
      <c r="V10" s="11">
        <f>IF(+V8&lt;1,1,V8)</f>
        <v>1.0198337181876935</v>
      </c>
      <c r="Y10" s="96" t="s">
        <v>221</v>
      </c>
      <c r="Z10" s="3">
        <f>IF('Segment Tables'!$D$147="No",(VLOOKUP($J$9,'Segment Tables'!$B$149:$R$153,7,FALSE)),(VLOOKUP($J$9,'Segment Tables'!$B$149:$R$153,12,FALSE)))</f>
        <v>0.41</v>
      </c>
      <c r="BV10" s="9"/>
      <c r="BW10" s="1"/>
      <c r="BX10" s="22"/>
      <c r="BY10" s="22"/>
      <c r="BZ10" s="22"/>
    </row>
    <row r="11" spans="1:78" ht="16.2" thickBot="1">
      <c r="A11" s="490" t="s">
        <v>6</v>
      </c>
      <c r="B11" s="490"/>
      <c r="C11" s="490"/>
      <c r="D11" s="199" t="s">
        <v>761</v>
      </c>
      <c r="E11" s="144" t="s">
        <v>625</v>
      </c>
      <c r="F11" s="146">
        <f>IF($J$9="2U",32600,IF($J$9="3T",32900,IF($J$9="4U",40100,IF($J$9="4D",66000,53800))))</f>
        <v>66000</v>
      </c>
      <c r="G11" s="145" t="s">
        <v>763</v>
      </c>
      <c r="H11" s="481" t="s">
        <v>13</v>
      </c>
      <c r="I11" s="336"/>
      <c r="J11" s="482">
        <v>23000</v>
      </c>
      <c r="K11" s="483"/>
      <c r="L11" s="483"/>
      <c r="M11" s="483"/>
      <c r="N11" s="483"/>
      <c r="O11" s="104" t="str">
        <f>IF(J11&gt;F11,"AADT out of range","AADT OK")</f>
        <v>AADT OK</v>
      </c>
      <c r="P11" s="104"/>
      <c r="U11" s="5"/>
      <c r="V11" s="5"/>
      <c r="BV11" s="1"/>
      <c r="BW11" s="1"/>
      <c r="BX11" s="22"/>
      <c r="BY11" s="22"/>
      <c r="BZ11" s="22"/>
    </row>
    <row r="12" spans="1:78">
      <c r="A12" s="487" t="s">
        <v>743</v>
      </c>
      <c r="B12" s="488"/>
      <c r="C12" s="488"/>
      <c r="D12" s="488"/>
      <c r="E12" s="488"/>
      <c r="F12" s="488"/>
      <c r="G12" s="489"/>
      <c r="H12" s="454" t="s">
        <v>13</v>
      </c>
      <c r="I12" s="336"/>
      <c r="J12" s="485" t="s">
        <v>642</v>
      </c>
      <c r="K12" s="486"/>
      <c r="L12" s="486"/>
      <c r="M12" s="486"/>
      <c r="N12" s="486"/>
      <c r="O12" s="104"/>
      <c r="P12" s="104"/>
      <c r="U12" s="5"/>
      <c r="V12" s="5"/>
      <c r="BV12" s="1"/>
      <c r="BW12" s="1"/>
      <c r="BX12" s="22"/>
      <c r="BY12" s="22"/>
      <c r="BZ12" s="22"/>
    </row>
    <row r="13" spans="1:78">
      <c r="A13" s="449" t="s">
        <v>166</v>
      </c>
      <c r="B13" s="449"/>
      <c r="C13" s="449"/>
      <c r="D13" s="449"/>
      <c r="E13" s="449"/>
      <c r="F13" s="449"/>
      <c r="G13" s="336"/>
      <c r="H13" s="438" t="s">
        <v>184</v>
      </c>
      <c r="I13" s="336"/>
      <c r="J13" s="485" t="s">
        <v>184</v>
      </c>
      <c r="K13" s="486"/>
      <c r="L13" s="486"/>
      <c r="M13" s="486"/>
      <c r="N13" s="486"/>
      <c r="O13" s="1"/>
      <c r="P13" s="104"/>
      <c r="BV13" s="9"/>
      <c r="BW13" s="1"/>
      <c r="BX13" s="22"/>
      <c r="BY13" s="22"/>
      <c r="BZ13" s="22"/>
    </row>
    <row r="14" spans="1:78">
      <c r="A14" s="448" t="s">
        <v>167</v>
      </c>
      <c r="B14" s="449"/>
      <c r="C14" s="449"/>
      <c r="D14" s="449"/>
      <c r="E14" s="449"/>
      <c r="F14" s="449"/>
      <c r="G14" s="336"/>
      <c r="H14" s="454" t="s">
        <v>13</v>
      </c>
      <c r="I14" s="336"/>
      <c r="J14" s="433">
        <v>0</v>
      </c>
      <c r="K14" s="453"/>
      <c r="L14" s="453"/>
      <c r="M14" s="453"/>
      <c r="N14" s="453"/>
      <c r="P14" s="104"/>
      <c r="BV14" s="58"/>
      <c r="BW14" s="17"/>
      <c r="BX14" s="17"/>
      <c r="BY14" s="17"/>
      <c r="BZ14" s="17"/>
    </row>
    <row r="15" spans="1:78">
      <c r="A15" s="448" t="s">
        <v>83</v>
      </c>
      <c r="B15" s="449"/>
      <c r="C15" s="449"/>
      <c r="D15" s="449"/>
      <c r="E15" s="449"/>
      <c r="F15" s="449"/>
      <c r="G15" s="336"/>
      <c r="H15" s="491">
        <v>15</v>
      </c>
      <c r="I15" s="336"/>
      <c r="J15" s="492">
        <v>40</v>
      </c>
      <c r="K15" s="493"/>
      <c r="L15" s="493"/>
      <c r="M15" s="493"/>
      <c r="N15" s="493"/>
      <c r="P15" s="104"/>
      <c r="BV15" s="17"/>
      <c r="BW15" s="17"/>
      <c r="BX15" s="17"/>
      <c r="BY15" s="17"/>
      <c r="BZ15" s="17"/>
    </row>
    <row r="16" spans="1:78">
      <c r="A16" s="448" t="s">
        <v>168</v>
      </c>
      <c r="B16" s="449"/>
      <c r="C16" s="449"/>
      <c r="D16" s="449"/>
      <c r="E16" s="449"/>
      <c r="F16" s="449"/>
      <c r="G16" s="336"/>
      <c r="H16" s="438" t="s">
        <v>57</v>
      </c>
      <c r="I16" s="286"/>
      <c r="J16" s="486" t="s">
        <v>58</v>
      </c>
      <c r="K16" s="486"/>
      <c r="L16" s="486"/>
      <c r="M16" s="486"/>
      <c r="N16" s="486"/>
      <c r="O16" s="1"/>
      <c r="P16" s="104"/>
      <c r="BV16" s="17"/>
      <c r="BW16" s="17"/>
      <c r="BX16" s="17"/>
      <c r="BY16" s="17"/>
      <c r="BZ16" s="17"/>
    </row>
    <row r="17" spans="1:64">
      <c r="A17" s="448" t="s">
        <v>759</v>
      </c>
      <c r="B17" s="449"/>
      <c r="C17" s="449"/>
      <c r="D17" s="449"/>
      <c r="E17" s="449"/>
      <c r="F17" s="449"/>
      <c r="G17" s="336"/>
      <c r="H17" s="438" t="s">
        <v>57</v>
      </c>
      <c r="I17" s="286"/>
      <c r="J17" s="486" t="s">
        <v>57</v>
      </c>
      <c r="K17" s="486"/>
      <c r="L17" s="486"/>
      <c r="M17" s="486"/>
      <c r="N17" s="486"/>
      <c r="O17" s="1"/>
      <c r="P17" s="104"/>
      <c r="BL17" s="22"/>
    </row>
    <row r="18" spans="1:64">
      <c r="A18" s="448" t="s">
        <v>169</v>
      </c>
      <c r="B18" s="449"/>
      <c r="C18" s="449"/>
      <c r="D18" s="449"/>
      <c r="E18" s="449"/>
      <c r="F18" s="449"/>
      <c r="G18" s="336"/>
      <c r="H18" s="454" t="s">
        <v>13</v>
      </c>
      <c r="I18" s="336"/>
      <c r="J18" s="433">
        <v>1</v>
      </c>
      <c r="K18" s="453"/>
      <c r="L18" s="453"/>
      <c r="M18" s="453"/>
      <c r="N18" s="453"/>
    </row>
    <row r="19" spans="1:64">
      <c r="A19" s="448" t="s">
        <v>170</v>
      </c>
      <c r="B19" s="449"/>
      <c r="C19" s="449"/>
      <c r="D19" s="449"/>
      <c r="E19" s="449"/>
      <c r="F19" s="449"/>
      <c r="G19" s="336"/>
      <c r="H19" s="454" t="s">
        <v>13</v>
      </c>
      <c r="I19" s="336"/>
      <c r="J19" s="433">
        <v>4</v>
      </c>
      <c r="K19" s="453"/>
      <c r="L19" s="453"/>
      <c r="M19" s="453"/>
      <c r="N19" s="453"/>
    </row>
    <row r="20" spans="1:64">
      <c r="A20" s="448" t="s">
        <v>171</v>
      </c>
      <c r="B20" s="449"/>
      <c r="C20" s="449"/>
      <c r="D20" s="449"/>
      <c r="E20" s="449"/>
      <c r="F20" s="449"/>
      <c r="G20" s="336"/>
      <c r="H20" s="454" t="s">
        <v>13</v>
      </c>
      <c r="I20" s="336"/>
      <c r="J20" s="433">
        <v>0</v>
      </c>
      <c r="K20" s="453"/>
      <c r="L20" s="453"/>
      <c r="M20" s="453"/>
      <c r="N20" s="453"/>
    </row>
    <row r="21" spans="1:64" ht="12.75" customHeight="1">
      <c r="A21" s="448" t="s">
        <v>172</v>
      </c>
      <c r="B21" s="449"/>
      <c r="C21" s="449"/>
      <c r="D21" s="449"/>
      <c r="E21" s="449"/>
      <c r="F21" s="449"/>
      <c r="G21" s="336"/>
      <c r="H21" s="454" t="s">
        <v>13</v>
      </c>
      <c r="I21" s="336"/>
      <c r="J21" s="433">
        <v>1</v>
      </c>
      <c r="K21" s="453"/>
      <c r="L21" s="453"/>
      <c r="M21" s="453"/>
      <c r="N21" s="453"/>
    </row>
    <row r="22" spans="1:64">
      <c r="A22" s="448" t="s">
        <v>173</v>
      </c>
      <c r="B22" s="449"/>
      <c r="C22" s="449"/>
      <c r="D22" s="449"/>
      <c r="E22" s="449"/>
      <c r="F22" s="449"/>
      <c r="G22" s="336"/>
      <c r="H22" s="454" t="s">
        <v>13</v>
      </c>
      <c r="I22" s="336"/>
      <c r="J22" s="433">
        <v>1</v>
      </c>
      <c r="K22" s="453"/>
      <c r="L22" s="453"/>
      <c r="M22" s="453"/>
      <c r="N22" s="453"/>
    </row>
    <row r="23" spans="1:64">
      <c r="A23" s="448" t="s">
        <v>174</v>
      </c>
      <c r="B23" s="449"/>
      <c r="C23" s="449"/>
      <c r="D23" s="449"/>
      <c r="E23" s="449"/>
      <c r="F23" s="449"/>
      <c r="G23" s="336"/>
      <c r="H23" s="454" t="s">
        <v>13</v>
      </c>
      <c r="I23" s="336"/>
      <c r="J23" s="433">
        <v>1</v>
      </c>
      <c r="K23" s="453"/>
      <c r="L23" s="453"/>
      <c r="M23" s="453"/>
      <c r="N23" s="453"/>
    </row>
    <row r="24" spans="1:64">
      <c r="A24" s="448" t="s">
        <v>175</v>
      </c>
      <c r="B24" s="449"/>
      <c r="C24" s="449"/>
      <c r="D24" s="449"/>
      <c r="E24" s="449"/>
      <c r="F24" s="449"/>
      <c r="G24" s="336"/>
      <c r="H24" s="454" t="s">
        <v>13</v>
      </c>
      <c r="I24" s="336"/>
      <c r="J24" s="433">
        <v>0</v>
      </c>
      <c r="K24" s="453"/>
      <c r="L24" s="453"/>
      <c r="M24" s="453"/>
      <c r="N24" s="453"/>
    </row>
    <row r="25" spans="1:64">
      <c r="A25" s="448" t="s">
        <v>176</v>
      </c>
      <c r="B25" s="449"/>
      <c r="C25" s="449"/>
      <c r="D25" s="449"/>
      <c r="E25" s="449"/>
      <c r="F25" s="449"/>
      <c r="G25" s="336"/>
      <c r="H25" s="454" t="s">
        <v>13</v>
      </c>
      <c r="I25" s="336"/>
      <c r="J25" s="485" t="s">
        <v>341</v>
      </c>
      <c r="K25" s="486"/>
      <c r="L25" s="486"/>
      <c r="M25" s="486"/>
      <c r="N25" s="486"/>
    </row>
    <row r="26" spans="1:64">
      <c r="A26" s="448" t="s">
        <v>177</v>
      </c>
      <c r="B26" s="449"/>
      <c r="C26" s="449"/>
      <c r="D26" s="449"/>
      <c r="E26" s="449"/>
      <c r="F26" s="449"/>
      <c r="G26" s="336"/>
      <c r="H26" s="438">
        <v>0</v>
      </c>
      <c r="I26" s="286"/>
      <c r="J26" s="433">
        <v>20</v>
      </c>
      <c r="K26" s="434"/>
      <c r="L26" s="434"/>
      <c r="M26" s="434"/>
      <c r="N26" s="434"/>
      <c r="O26" s="1"/>
      <c r="P26" s="1"/>
    </row>
    <row r="27" spans="1:64">
      <c r="A27" s="448" t="s">
        <v>760</v>
      </c>
      <c r="B27" s="449"/>
      <c r="C27" s="449"/>
      <c r="D27" s="449"/>
      <c r="E27" s="449"/>
      <c r="F27" s="449"/>
      <c r="G27" s="336"/>
      <c r="H27" s="438">
        <v>30</v>
      </c>
      <c r="I27" s="286"/>
      <c r="J27" s="433">
        <v>12</v>
      </c>
      <c r="K27" s="434"/>
      <c r="L27" s="434"/>
      <c r="M27" s="434"/>
      <c r="N27" s="434"/>
      <c r="O27" s="1"/>
      <c r="P27" s="1"/>
    </row>
    <row r="28" spans="1:64" ht="16.2" thickBot="1">
      <c r="A28" s="450" t="s">
        <v>744</v>
      </c>
      <c r="B28" s="451"/>
      <c r="C28" s="451"/>
      <c r="D28" s="451"/>
      <c r="E28" s="451"/>
      <c r="F28" s="451"/>
      <c r="G28" s="452"/>
      <c r="H28" s="494">
        <v>1</v>
      </c>
      <c r="I28" s="495"/>
      <c r="J28" s="496">
        <v>1</v>
      </c>
      <c r="K28" s="497"/>
      <c r="L28" s="497"/>
      <c r="M28" s="497"/>
      <c r="N28" s="497"/>
    </row>
    <row r="29" spans="1:64" ht="13.8" thickTop="1">
      <c r="A29" s="90"/>
      <c r="B29" s="90"/>
      <c r="C29" s="90"/>
      <c r="D29" s="90"/>
      <c r="E29" s="90"/>
      <c r="F29" s="90"/>
      <c r="G29" s="90"/>
      <c r="H29" s="90"/>
      <c r="I29" s="90"/>
      <c r="J29" s="90"/>
      <c r="K29" s="90"/>
      <c r="L29" s="90"/>
      <c r="M29" s="90"/>
      <c r="N29" s="90"/>
    </row>
    <row r="31" spans="1:64" ht="13.8" thickBot="1"/>
    <row r="32" spans="1:64" ht="14.4" thickTop="1" thickBot="1">
      <c r="A32" s="302" t="s">
        <v>185</v>
      </c>
      <c r="B32" s="358"/>
      <c r="C32" s="358"/>
      <c r="D32" s="358"/>
      <c r="E32" s="358"/>
      <c r="F32" s="358"/>
      <c r="G32" s="358"/>
      <c r="H32" s="358"/>
      <c r="I32" s="358"/>
      <c r="J32" s="358"/>
      <c r="K32" s="358"/>
      <c r="L32" s="358"/>
      <c r="M32" s="358"/>
      <c r="N32" s="358"/>
      <c r="O32" s="26"/>
      <c r="P32" s="26"/>
    </row>
    <row r="33" spans="1:65">
      <c r="A33" s="297" t="s">
        <v>15</v>
      </c>
      <c r="B33" s="298"/>
      <c r="C33" s="349" t="s">
        <v>16</v>
      </c>
      <c r="D33" s="349"/>
      <c r="E33" s="298"/>
      <c r="F33" s="349" t="s">
        <v>17</v>
      </c>
      <c r="G33" s="298"/>
      <c r="H33" s="349" t="s">
        <v>18</v>
      </c>
      <c r="I33" s="298"/>
      <c r="J33" s="349" t="s">
        <v>19</v>
      </c>
      <c r="K33" s="298"/>
      <c r="L33" s="298"/>
      <c r="M33" s="349" t="s">
        <v>20</v>
      </c>
      <c r="N33" s="351"/>
    </row>
    <row r="34" spans="1:65" ht="13.2" customHeight="1">
      <c r="A34" s="446" t="s">
        <v>186</v>
      </c>
      <c r="B34" s="421"/>
      <c r="C34" s="435" t="s">
        <v>201</v>
      </c>
      <c r="D34" s="435"/>
      <c r="E34" s="421"/>
      <c r="F34" s="435" t="s">
        <v>84</v>
      </c>
      <c r="G34" s="421"/>
      <c r="H34" s="420" t="s">
        <v>28</v>
      </c>
      <c r="I34" s="421"/>
      <c r="J34" s="420" t="s">
        <v>29</v>
      </c>
      <c r="K34" s="421"/>
      <c r="L34" s="421"/>
      <c r="M34" s="435" t="s">
        <v>81</v>
      </c>
      <c r="N34" s="436"/>
      <c r="O34" s="15"/>
      <c r="P34" s="15"/>
    </row>
    <row r="35" spans="1:65">
      <c r="A35" s="447"/>
      <c r="B35" s="422"/>
      <c r="C35" s="422"/>
      <c r="D35" s="422"/>
      <c r="E35" s="422"/>
      <c r="F35" s="422"/>
      <c r="G35" s="422"/>
      <c r="H35" s="422"/>
      <c r="I35" s="422"/>
      <c r="J35" s="422"/>
      <c r="K35" s="422"/>
      <c r="L35" s="422"/>
      <c r="M35" s="422"/>
      <c r="N35" s="437"/>
      <c r="O35" s="15"/>
      <c r="P35" s="15"/>
    </row>
    <row r="36" spans="1:65">
      <c r="A36" s="445" t="s">
        <v>187</v>
      </c>
      <c r="B36" s="334"/>
      <c r="C36" s="413" t="s">
        <v>202</v>
      </c>
      <c r="D36" s="413"/>
      <c r="E36" s="334"/>
      <c r="F36" s="413" t="s">
        <v>212</v>
      </c>
      <c r="G36" s="334"/>
      <c r="H36" s="413" t="s">
        <v>214</v>
      </c>
      <c r="I36" s="334"/>
      <c r="J36" s="413" t="s">
        <v>222</v>
      </c>
      <c r="K36" s="334"/>
      <c r="L36" s="334"/>
      <c r="M36" s="413" t="s">
        <v>30</v>
      </c>
      <c r="N36" s="357"/>
    </row>
    <row r="37" spans="1:65" ht="13.2" customHeight="1">
      <c r="A37" s="443" t="s">
        <v>188</v>
      </c>
      <c r="B37" s="291"/>
      <c r="C37" s="444" t="s">
        <v>203</v>
      </c>
      <c r="D37" s="444"/>
      <c r="E37" s="291"/>
      <c r="F37" s="444" t="s">
        <v>595</v>
      </c>
      <c r="G37" s="334"/>
      <c r="H37" s="444" t="s">
        <v>215</v>
      </c>
      <c r="I37" s="291"/>
      <c r="J37" s="444" t="s">
        <v>223</v>
      </c>
      <c r="K37" s="334"/>
      <c r="L37" s="334"/>
      <c r="M37" s="414" t="s">
        <v>85</v>
      </c>
      <c r="N37" s="357"/>
      <c r="BL37" s="5"/>
      <c r="BM37" s="5"/>
    </row>
    <row r="38" spans="1:65" ht="13.8" thickBot="1">
      <c r="A38" s="419">
        <f>1+$J$14*(IF($J$13="None",1,(IF($J$13="Parallel (Residential)",VLOOKUP($J$9,'Segment Tables'!$T$9:$X$13,2,FALSE),(IF($J$13="Parallel (Comm/Ind)",VLOOKUP($J$9,'Segment Tables'!$T$9:$X$13,3,FALSE),(IF($J$13="Angle (Residential)",(VLOOKUP($J$9,'Segment Tables'!$T$9:$X$13,4,FALSE)),(VLOOKUP($J$9,'Segment Tables'!$T$9:$X$13,5,FALSE)))))))))-1)</f>
        <v>1</v>
      </c>
      <c r="B38" s="439"/>
      <c r="C38" s="417">
        <f>$V$10</f>
        <v>1.0198337181876935</v>
      </c>
      <c r="D38" s="440"/>
      <c r="E38" s="439"/>
      <c r="F38" s="417">
        <f>IF(J15="Not Present", 1, IF(J9="2U",1,(IF(J9="4U",1,(VLOOKUP(J15,'Segment Tables'!T20:V30,3,FALSE))))))</f>
        <v>0.97</v>
      </c>
      <c r="G38" s="418"/>
      <c r="H38" s="417">
        <f>IF($J$16="Present",(1-($Z$10*(1-(0.72*$Z$6)-(0.83*$Z$8)))),1)</f>
        <v>0.91388360000000002</v>
      </c>
      <c r="I38" s="418"/>
      <c r="J38" s="417">
        <f>IF($J$17="Present",0.95,1)</f>
        <v>1</v>
      </c>
      <c r="K38" s="419"/>
      <c r="L38" s="418"/>
      <c r="M38" s="415">
        <f>$A$38*$C$38*$F$38*$H$38*$J$38</f>
        <v>0.9040490304853922</v>
      </c>
      <c r="N38" s="416"/>
      <c r="O38" s="1"/>
      <c r="P38" s="1"/>
      <c r="BL38" s="1"/>
      <c r="BM38" s="1"/>
    </row>
    <row r="39" spans="1:65">
      <c r="BL39" s="5"/>
    </row>
    <row r="40" spans="1:65">
      <c r="C40" s="441"/>
      <c r="D40" s="442"/>
      <c r="E40" s="442"/>
      <c r="BL40" s="5"/>
    </row>
    <row r="41" spans="1:65" ht="13.8" thickBot="1">
      <c r="H41" s="22"/>
      <c r="I41" s="22"/>
      <c r="BL41" s="8"/>
    </row>
    <row r="42" spans="1:65" ht="14.4" thickTop="1" thickBot="1">
      <c r="A42" s="302" t="s">
        <v>224</v>
      </c>
      <c r="B42" s="358"/>
      <c r="C42" s="358"/>
      <c r="D42" s="358"/>
      <c r="E42" s="358"/>
      <c r="F42" s="358"/>
      <c r="G42" s="358"/>
      <c r="H42" s="358"/>
      <c r="I42" s="358"/>
      <c r="J42" s="405"/>
      <c r="K42" s="405"/>
      <c r="L42" s="405"/>
      <c r="M42" s="405"/>
      <c r="N42" s="405"/>
      <c r="BL42" s="6"/>
    </row>
    <row r="43" spans="1:65">
      <c r="A43" s="297" t="s">
        <v>15</v>
      </c>
      <c r="B43" s="298"/>
      <c r="C43" s="288" t="s">
        <v>16</v>
      </c>
      <c r="D43" s="406"/>
      <c r="E43" s="349" t="s">
        <v>17</v>
      </c>
      <c r="F43" s="298"/>
      <c r="G43" s="349" t="s">
        <v>18</v>
      </c>
      <c r="H43" s="298"/>
      <c r="I43" s="349" t="s">
        <v>19</v>
      </c>
      <c r="J43" s="298"/>
      <c r="K43" s="2" t="s">
        <v>20</v>
      </c>
      <c r="L43" s="30" t="s">
        <v>21</v>
      </c>
      <c r="M43" s="30" t="s">
        <v>22</v>
      </c>
      <c r="N43" s="67" t="s">
        <v>23</v>
      </c>
      <c r="O43" s="28"/>
      <c r="P43" s="28"/>
    </row>
    <row r="44" spans="1:65" ht="13.2" customHeight="1">
      <c r="A44" s="430" t="s">
        <v>31</v>
      </c>
      <c r="B44" s="431"/>
      <c r="C44" s="397" t="s">
        <v>86</v>
      </c>
      <c r="D44" s="398"/>
      <c r="E44" s="399" t="s">
        <v>684</v>
      </c>
      <c r="F44" s="400"/>
      <c r="G44" s="403" t="s">
        <v>225</v>
      </c>
      <c r="H44" s="403"/>
      <c r="I44" s="338" t="s">
        <v>226</v>
      </c>
      <c r="J44" s="398"/>
      <c r="K44" s="403" t="s">
        <v>227</v>
      </c>
      <c r="L44" s="338" t="s">
        <v>33</v>
      </c>
      <c r="M44" s="338" t="s">
        <v>750</v>
      </c>
      <c r="N44" s="354" t="s">
        <v>228</v>
      </c>
      <c r="O44" s="99"/>
      <c r="P44" s="99"/>
    </row>
    <row r="45" spans="1:65" ht="13.2" customHeight="1">
      <c r="A45" s="432"/>
      <c r="B45" s="432"/>
      <c r="C45" s="353"/>
      <c r="D45" s="353"/>
      <c r="E45" s="401"/>
      <c r="F45" s="402"/>
      <c r="G45" s="353"/>
      <c r="H45" s="353"/>
      <c r="I45" s="398"/>
      <c r="J45" s="398"/>
      <c r="K45" s="352"/>
      <c r="L45" s="352"/>
      <c r="M45" s="352"/>
      <c r="N45" s="354"/>
      <c r="O45" s="99"/>
      <c r="P45" s="99"/>
    </row>
    <row r="46" spans="1:65" ht="13.2" customHeight="1">
      <c r="A46" s="432"/>
      <c r="B46" s="432"/>
      <c r="C46" s="290" t="s">
        <v>596</v>
      </c>
      <c r="D46" s="290"/>
      <c r="E46" s="319" t="s">
        <v>596</v>
      </c>
      <c r="F46" s="408"/>
      <c r="G46" s="348" t="s">
        <v>229</v>
      </c>
      <c r="H46" s="348"/>
      <c r="I46" s="398"/>
      <c r="J46" s="398"/>
      <c r="K46" s="348" t="s">
        <v>230</v>
      </c>
      <c r="L46" s="411" t="s">
        <v>231</v>
      </c>
      <c r="M46" s="353"/>
      <c r="N46" s="319" t="s">
        <v>232</v>
      </c>
      <c r="O46" s="100"/>
      <c r="P46" s="100"/>
    </row>
    <row r="47" spans="1:65" ht="13.2" customHeight="1">
      <c r="A47" s="432"/>
      <c r="B47" s="432"/>
      <c r="C47" s="70" t="s">
        <v>87</v>
      </c>
      <c r="D47" s="70" t="s">
        <v>88</v>
      </c>
      <c r="E47" s="409" t="s">
        <v>652</v>
      </c>
      <c r="F47" s="410"/>
      <c r="G47" s="407"/>
      <c r="H47" s="407"/>
      <c r="I47" s="398"/>
      <c r="J47" s="398"/>
      <c r="K47" s="300"/>
      <c r="L47" s="352"/>
      <c r="M47" s="353"/>
      <c r="N47" s="412"/>
      <c r="O47" s="101"/>
      <c r="P47" s="101"/>
    </row>
    <row r="48" spans="1:65">
      <c r="A48" s="336" t="s">
        <v>34</v>
      </c>
      <c r="B48" s="357"/>
      <c r="C48" s="11">
        <f>IF('Segment Tables'!$D$4="No",VLOOKUP($J$9,'Segment Tables'!$B$9:$E$13,MATCH(C$47,'Segment Tables'!$B$7:$E$7,0), FALSE),VLOOKUP($J$9,'Segment Tables'!$F$9:$I$13,MATCH(C$47,'Segment Tables'!$F$7:$I$7,0), FALSE))</f>
        <v>-11.523999999999999</v>
      </c>
      <c r="D48" s="11">
        <f>IF('Segment Tables'!$D$4="No",VLOOKUP($J$9,'Segment Tables'!$B$9:$E$13,MATCH(D$47,'Segment Tables'!$B$7:$E$7,0), FALSE),VLOOKUP($J$9,'Segment Tables'!$F$9:$I$13,MATCH(D$47,'Segment Tables'!$F$7:$I$7,0), FALSE))</f>
        <v>1.2490000000000001</v>
      </c>
      <c r="E48" s="426">
        <f>IF('Segment Tables'!$D$4="No",VLOOKUP($J$9,'Segment Tables'!$B$9:$E$13,MATCH(E$47,'Segment Tables'!$B$7:$E$7,0), FALSE),VLOOKUP($J$9,'Segment Tables'!$F$9:$I$13,MATCH(E$47,'Segment Tables'!$F$7:$I$7,0), FALSE))</f>
        <v>0.96699999999999997</v>
      </c>
      <c r="F48" s="427" t="e">
        <f>IF('Segment Tables'!$D$4="No",VLOOKUP($J$9,'Segment Tables'!$B$9:$E$13,MATCH(F$47,'Segment Tables'!$B$7:$E$7,0), FALSE),VLOOKUP($J$9,'Segment Tables'!$F$9:$I$13,MATCH(F$47,'Segment Tables'!$F$7:$I$7,0), FALSE))</f>
        <v>#N/A</v>
      </c>
      <c r="G48" s="295">
        <f>EXP($C48+($D48*LN($J$11))+LN($J$10))</f>
        <v>2.0799347992186497</v>
      </c>
      <c r="H48" s="296"/>
      <c r="I48" s="295">
        <v>1</v>
      </c>
      <c r="J48" s="296"/>
      <c r="K48" s="3">
        <f>G48*I48</f>
        <v>2.0799347992186497</v>
      </c>
      <c r="L48" s="184">
        <f>+M38</f>
        <v>0.9040490304853922</v>
      </c>
      <c r="M48" s="11">
        <f>$J$28*VLOOKUP(VLOOKUP($J$12,'Segment Tables'!$O$59:$P$85,MATCH("Region",'Segment Tables'!$O$59:$P$59,0),FALSE),'Segment Tables'!$K$28:$P$33,MATCH($J$9,'Segment Tables'!$K$28:$P$28,0),FALSE)</f>
        <v>1</v>
      </c>
      <c r="N48" s="185">
        <f>+K48*L48*M48</f>
        <v>1.8803630387064492</v>
      </c>
    </row>
    <row r="49" spans="1:16" ht="15.6">
      <c r="A49" s="383" t="s">
        <v>35</v>
      </c>
      <c r="B49" s="383"/>
      <c r="C49" s="364" t="str">
        <f>IF('Segment Tables'!$D$4="No",VLOOKUP($J$9,'Segment Tables'!$B$15:$E$19,MATCH(C$47,'Segment Tables'!$B$7:$E$7,0), FALSE),"--")</f>
        <v>--</v>
      </c>
      <c r="D49" s="364" t="str">
        <f>IF('Segment Tables'!$D$4="No",VLOOKUP($J$9,'Segment Tables'!$B$15:$E$19,MATCH(D$47,'Segment Tables'!$B$7:$E$7,0), FALSE),"--")</f>
        <v>--</v>
      </c>
      <c r="E49" s="375" t="str">
        <f>IF('Segment Tables'!$D$4="No",VLOOKUP($J$9,'Segment Tables'!$B$15:$E$19,MATCH(E$47,'Segment Tables'!$B$7:$E$7,0), FALSE),"--")</f>
        <v>--</v>
      </c>
      <c r="F49" s="423" t="str">
        <f>IF('Segment Tables'!$D$4="No",VLOOKUP($J$9,'Segment Tables'!$B$15:$E$19,MATCH(F$47,'Segment Tables'!$B$7:$E$7,0), FALSE),"--")</f>
        <v>--</v>
      </c>
      <c r="G49" s="379">
        <f>IF('Segment Tables'!$D$4="No",EXP($C49+($D49*LN($J$11))+LN($J$10)),G48*HLOOKUP(J9,'Segment Tables'!M37:Q44,6,FALSE)/100)</f>
        <v>0.67389887494684242</v>
      </c>
      <c r="H49" s="380"/>
      <c r="I49" s="290" t="s">
        <v>233</v>
      </c>
      <c r="J49" s="291"/>
      <c r="K49" s="360">
        <f>G48*I50</f>
        <v>0.67389887494684253</v>
      </c>
      <c r="L49" s="362">
        <f>+M38</f>
        <v>0.9040490304853922</v>
      </c>
      <c r="M49" s="364">
        <f>$J$28*VLOOKUP(VLOOKUP($J$12,'Segment Tables'!$O$59:$P$85,MATCH("Region",'Segment Tables'!$O$59:$P$59,0),FALSE),'Segment Tables'!$K$28:$P$33,MATCH($J$9,'Segment Tables'!$K$28:$P$28,0),FALSE)</f>
        <v>1</v>
      </c>
      <c r="N49" s="366">
        <f>+K49*L49*M49</f>
        <v>0.60923762454088959</v>
      </c>
    </row>
    <row r="50" spans="1:16">
      <c r="A50" s="384"/>
      <c r="B50" s="384"/>
      <c r="C50" s="404"/>
      <c r="D50" s="404"/>
      <c r="E50" s="424"/>
      <c r="F50" s="425"/>
      <c r="G50" s="388"/>
      <c r="H50" s="389"/>
      <c r="I50" s="295">
        <f>G49/(G49+G51)</f>
        <v>0.32400000000000001</v>
      </c>
      <c r="J50" s="296"/>
      <c r="K50" s="368"/>
      <c r="L50" s="369"/>
      <c r="M50" s="404">
        <f>$J$28*VLOOKUP(VLOOKUP($J$12,'Segment Tables'!$O$59:$P$85,MATCH("Region",'Segment Tables'!$O$59:$P$59,0),FALSE),'Segment Tables'!$K$28:$P$33,MATCH($J$9,'Segment Tables'!$K$28:$P$28,0),FALSE)</f>
        <v>1</v>
      </c>
      <c r="N50" s="370"/>
    </row>
    <row r="51" spans="1:16" ht="15.6" customHeight="1">
      <c r="A51" s="301" t="s">
        <v>36</v>
      </c>
      <c r="B51" s="371"/>
      <c r="C51" s="364" t="str">
        <f>IF('Segment Tables'!$D$4="No",VLOOKUP($J$9,'Segment Tables'!$B$21:$E$25,MATCH(C$47,'Segment Tables'!$B$7:$E$7,0), FALSE),"--")</f>
        <v>--</v>
      </c>
      <c r="D51" s="364" t="str">
        <f>IF('Segment Tables'!$D$4="No",VLOOKUP($J$9,'Segment Tables'!$B$21:$E$25,MATCH(D$47,'Segment Tables'!$B$7:$E$7,0), FALSE),"--")</f>
        <v>--</v>
      </c>
      <c r="E51" s="375" t="str">
        <f>IF('Segment Tables'!$D$4="No",VLOOKUP($J$9,'Segment Tables'!$B$21:$E$25,MATCH(E$47,'Segment Tables'!$B$7:$E$7,0), FALSE),"--")</f>
        <v>--</v>
      </c>
      <c r="F51" s="423" t="str">
        <f>IF('Segment Tables'!$D$4="No",VLOOKUP($J$9,'Segment Tables'!$B$21:$E$25,MATCH(F$47,'Segment Tables'!$B$7:$E$7,0), FALSE),"--")</f>
        <v>--</v>
      </c>
      <c r="G51" s="379">
        <f>IF('Segment Tables'!$D$4="No",EXP($C51+($D51*LN($J$11))+LN($J$10)),G48*HLOOKUP(J9,'Segment Tables'!M37:Q44,7,FALSE)/100)</f>
        <v>1.406035924271807</v>
      </c>
      <c r="H51" s="380"/>
      <c r="I51" s="290" t="s">
        <v>234</v>
      </c>
      <c r="J51" s="291"/>
      <c r="K51" s="360">
        <f>G48*I52</f>
        <v>1.406035924271807</v>
      </c>
      <c r="L51" s="362">
        <f>+M38</f>
        <v>0.9040490304853922</v>
      </c>
      <c r="M51" s="364">
        <f>$J$28*VLOOKUP(VLOOKUP($J$12,'Segment Tables'!$O$59:$P$85,MATCH("Region",'Segment Tables'!$O$59:$P$59,0),FALSE),'Segment Tables'!$K$28:$P$33,MATCH($J$9,'Segment Tables'!$K$28:$P$28,0),FALSE)</f>
        <v>1</v>
      </c>
      <c r="N51" s="366">
        <f>+K51*L51*M51</f>
        <v>1.2711254141655595</v>
      </c>
    </row>
    <row r="52" spans="1:16" ht="13.8" thickBot="1">
      <c r="A52" s="372"/>
      <c r="B52" s="373"/>
      <c r="C52" s="365"/>
      <c r="D52" s="365"/>
      <c r="E52" s="428"/>
      <c r="F52" s="429"/>
      <c r="G52" s="381"/>
      <c r="H52" s="382"/>
      <c r="I52" s="305">
        <f>I48-I50</f>
        <v>0.67599999999999993</v>
      </c>
      <c r="J52" s="306"/>
      <c r="K52" s="361"/>
      <c r="L52" s="363"/>
      <c r="M52" s="365">
        <f>$J$28*VLOOKUP(VLOOKUP($J$12,'Segment Tables'!$O$59:$P$85,MATCH("Region",'Segment Tables'!$O$59:$P$59,0),FALSE),'Segment Tables'!$K$28:$P$33,MATCH($J$9,'Segment Tables'!$K$28:$P$28,0),FALSE)</f>
        <v>1</v>
      </c>
      <c r="N52" s="367"/>
    </row>
    <row r="53" spans="1:16" ht="14.25" customHeight="1">
      <c r="F53" s="32"/>
      <c r="G53" s="1"/>
      <c r="M53" s="32"/>
    </row>
    <row r="54" spans="1:16">
      <c r="C54" s="111"/>
      <c r="D54" s="1"/>
      <c r="E54" s="22"/>
      <c r="F54" s="1"/>
      <c r="J54" s="38"/>
      <c r="K54" s="1"/>
    </row>
    <row r="55" spans="1:16" ht="13.8" thickBot="1">
      <c r="C55" s="26"/>
      <c r="D55" s="38"/>
      <c r="E55" s="38"/>
      <c r="F55" s="39"/>
      <c r="G55" s="26"/>
      <c r="J55" s="1"/>
      <c r="K55" s="1"/>
      <c r="M55" s="38"/>
      <c r="N55" s="1"/>
      <c r="O55" s="1"/>
      <c r="P55" s="1"/>
    </row>
    <row r="56" spans="1:16" ht="14.4" thickTop="1" thickBot="1">
      <c r="A56" s="302" t="s">
        <v>241</v>
      </c>
      <c r="B56" s="358"/>
      <c r="C56" s="358"/>
      <c r="D56" s="358"/>
      <c r="E56" s="358"/>
      <c r="F56" s="358"/>
      <c r="G56" s="358"/>
      <c r="H56" s="358"/>
      <c r="I56" s="359"/>
      <c r="J56" s="359"/>
      <c r="K56" s="359"/>
      <c r="L56" s="359"/>
      <c r="M56" s="359"/>
      <c r="N56" s="359"/>
      <c r="O56" s="24"/>
      <c r="P56" s="24"/>
    </row>
    <row r="57" spans="1:16">
      <c r="A57" s="297" t="s">
        <v>15</v>
      </c>
      <c r="B57" s="298"/>
      <c r="C57" s="298"/>
      <c r="D57" s="349" t="s">
        <v>16</v>
      </c>
      <c r="E57" s="350"/>
      <c r="F57" s="349" t="s">
        <v>17</v>
      </c>
      <c r="G57" s="349"/>
      <c r="H57" s="287" t="s">
        <v>18</v>
      </c>
      <c r="I57" s="350"/>
      <c r="J57" s="349" t="s">
        <v>19</v>
      </c>
      <c r="K57" s="349"/>
      <c r="L57" s="287" t="s">
        <v>20</v>
      </c>
      <c r="M57" s="350"/>
      <c r="N57" s="351"/>
      <c r="O57" s="24"/>
      <c r="P57" s="24"/>
    </row>
    <row r="58" spans="1:16" ht="13.2" customHeight="1">
      <c r="A58" s="498" t="s">
        <v>37</v>
      </c>
      <c r="B58" s="338"/>
      <c r="C58" s="334"/>
      <c r="D58" s="338" t="s">
        <v>38</v>
      </c>
      <c r="E58" s="291"/>
      <c r="F58" s="338" t="s">
        <v>243</v>
      </c>
      <c r="G58" s="338"/>
      <c r="H58" s="338" t="s">
        <v>256</v>
      </c>
      <c r="I58" s="291"/>
      <c r="J58" s="338" t="s">
        <v>245</v>
      </c>
      <c r="K58" s="338"/>
      <c r="L58" s="289" t="s">
        <v>242</v>
      </c>
      <c r="M58" s="289"/>
      <c r="N58" s="339"/>
      <c r="O58" s="24"/>
      <c r="P58" s="24"/>
    </row>
    <row r="59" spans="1:16">
      <c r="A59" s="498"/>
      <c r="B59" s="338"/>
      <c r="C59" s="334"/>
      <c r="D59" s="291"/>
      <c r="E59" s="291"/>
      <c r="F59" s="291"/>
      <c r="G59" s="291"/>
      <c r="H59" s="291"/>
      <c r="I59" s="291"/>
      <c r="J59" s="291"/>
      <c r="K59" s="291"/>
      <c r="L59" s="340"/>
      <c r="M59" s="340"/>
      <c r="N59" s="339"/>
      <c r="O59" s="1"/>
      <c r="P59" s="1"/>
    </row>
    <row r="60" spans="1:16">
      <c r="A60" s="286"/>
      <c r="B60" s="291"/>
      <c r="C60" s="334"/>
      <c r="D60" s="291"/>
      <c r="E60" s="291"/>
      <c r="F60" s="291"/>
      <c r="G60" s="291"/>
      <c r="H60" s="291"/>
      <c r="I60" s="291"/>
      <c r="J60" s="291"/>
      <c r="K60" s="291"/>
      <c r="L60" s="340"/>
      <c r="M60" s="340"/>
      <c r="N60" s="339"/>
      <c r="O60" s="24"/>
      <c r="P60" s="24"/>
    </row>
    <row r="61" spans="1:16" ht="13.2" customHeight="1">
      <c r="A61" s="286"/>
      <c r="B61" s="291"/>
      <c r="C61" s="334"/>
      <c r="D61" s="348" t="s">
        <v>597</v>
      </c>
      <c r="E61" s="334"/>
      <c r="F61" s="355" t="s">
        <v>244</v>
      </c>
      <c r="G61" s="356"/>
      <c r="H61" s="348" t="s">
        <v>597</v>
      </c>
      <c r="I61" s="334"/>
      <c r="J61" s="355" t="s">
        <v>246</v>
      </c>
      <c r="K61" s="356"/>
      <c r="L61" s="355" t="s">
        <v>247</v>
      </c>
      <c r="M61" s="356"/>
      <c r="N61" s="357"/>
      <c r="O61" s="33"/>
      <c r="P61" s="33"/>
    </row>
    <row r="62" spans="1:16">
      <c r="A62" s="286"/>
      <c r="B62" s="291"/>
      <c r="C62" s="334"/>
      <c r="D62" s="291"/>
      <c r="E62" s="334"/>
      <c r="F62" s="291"/>
      <c r="G62" s="291"/>
      <c r="H62" s="291"/>
      <c r="I62" s="334"/>
      <c r="J62" s="291"/>
      <c r="K62" s="291"/>
      <c r="L62" s="291"/>
      <c r="M62" s="291"/>
      <c r="N62" s="357"/>
    </row>
    <row r="63" spans="1:16">
      <c r="A63" s="336" t="s">
        <v>34</v>
      </c>
      <c r="B63" s="334"/>
      <c r="C63" s="334"/>
      <c r="D63" s="308">
        <v>1</v>
      </c>
      <c r="E63" s="308"/>
      <c r="F63" s="295">
        <f>+N49</f>
        <v>0.60923762454088959</v>
      </c>
      <c r="G63" s="286"/>
      <c r="H63" s="308">
        <v>1</v>
      </c>
      <c r="I63" s="308"/>
      <c r="J63" s="295">
        <f>+N51</f>
        <v>1.2711254141655595</v>
      </c>
      <c r="K63" s="286"/>
      <c r="L63" s="295">
        <f>+N48</f>
        <v>1.8803630387064492</v>
      </c>
      <c r="M63" s="337"/>
      <c r="N63" s="337"/>
    </row>
    <row r="64" spans="1:16" ht="15.6">
      <c r="A64" s="336"/>
      <c r="B64" s="334"/>
      <c r="C64" s="334"/>
      <c r="D64" s="334"/>
      <c r="E64" s="334"/>
      <c r="F64" s="335" t="s">
        <v>248</v>
      </c>
      <c r="G64" s="291"/>
      <c r="H64" s="334"/>
      <c r="I64" s="334"/>
      <c r="J64" s="335" t="s">
        <v>249</v>
      </c>
      <c r="K64" s="291"/>
      <c r="L64" s="335" t="s">
        <v>250</v>
      </c>
      <c r="M64" s="291"/>
      <c r="N64" s="285"/>
      <c r="O64" s="1"/>
      <c r="P64" s="1"/>
    </row>
    <row r="65" spans="1:16">
      <c r="A65" s="326" t="s">
        <v>41</v>
      </c>
      <c r="B65" s="334"/>
      <c r="C65" s="334"/>
      <c r="D65" s="295">
        <f>IF('Segment Tables'!$C$60="No",VLOOKUP($A65,'Segment Tables'!$B$62:$M$68,MATCH($J$9&amp;", FI",'Segment Tables'!$B$62:$M$62,0),FALSE),VLOOKUP($A65,'Segment Tables'!$B$71:$M$76,MATCH($J$9&amp;", FI",'Segment Tables'!$B$71:$M$71,0),FALSE))</f>
        <v>0.45700000000000002</v>
      </c>
      <c r="E65" s="296"/>
      <c r="F65" s="295">
        <f t="shared" ref="F65:F70" si="0">+$F$63*$D65</f>
        <v>0.27842159441518655</v>
      </c>
      <c r="G65" s="296"/>
      <c r="H65" s="295">
        <f>IF('Segment Tables'!$C$60="No",VLOOKUP($A65,'Segment Tables'!$B$62:$M$68,MATCH($J$9&amp;", PDO",'Segment Tables'!$B$62:$M$62,0),FALSE),VLOOKUP($A65,'Segment Tables'!$B$71:$M$76,MATCH($J$9&amp;", PDO",'Segment Tables'!$B$71:$M$71,0),FALSE))</f>
        <v>0.39200000000000002</v>
      </c>
      <c r="I65" s="296"/>
      <c r="J65" s="295">
        <f t="shared" ref="J65:J70" si="1">+$J$63*H65</f>
        <v>0.49828116235289932</v>
      </c>
      <c r="K65" s="296"/>
      <c r="L65" s="308">
        <f t="shared" ref="L65:L70" si="2">+F65+J65</f>
        <v>0.77670275676808587</v>
      </c>
      <c r="M65" s="308"/>
      <c r="N65" s="295"/>
      <c r="O65" s="1"/>
      <c r="P65" s="1"/>
    </row>
    <row r="66" spans="1:16">
      <c r="A66" s="333" t="s">
        <v>40</v>
      </c>
      <c r="B66" s="334"/>
      <c r="C66" s="334"/>
      <c r="D66" s="295">
        <f>IF('Segment Tables'!$C$60="No",VLOOKUP($A66,'Segment Tables'!$B$62:$M$68,MATCH($J$9&amp;", FI",'Segment Tables'!$B$62:$M$62,0),FALSE),VLOOKUP($A66,'Segment Tables'!$B$71:$M$76,MATCH($J$9&amp;", FI",'Segment Tables'!$B$71:$M$71,0),FALSE))</f>
        <v>0.08</v>
      </c>
      <c r="E66" s="296"/>
      <c r="F66" s="295">
        <f t="shared" si="0"/>
        <v>4.8739009963271171E-2</v>
      </c>
      <c r="G66" s="296"/>
      <c r="H66" s="295">
        <f>IF('Segment Tables'!$C$60="No",VLOOKUP($A66,'Segment Tables'!$B$62:$M$68,MATCH($J$9&amp;", PDO",'Segment Tables'!$B$62:$M$62,0),FALSE),VLOOKUP($A66,'Segment Tables'!$B$71:$M$76,MATCH($J$9&amp;", PDO",'Segment Tables'!$B$71:$M$71,0),FALSE))</f>
        <v>1.7000000000000001E-2</v>
      </c>
      <c r="I66" s="296"/>
      <c r="J66" s="295">
        <f t="shared" si="1"/>
        <v>2.1609132040814511E-2</v>
      </c>
      <c r="K66" s="296"/>
      <c r="L66" s="308">
        <f t="shared" si="2"/>
        <v>7.0348142004085679E-2</v>
      </c>
      <c r="M66" s="308"/>
      <c r="N66" s="295"/>
      <c r="O66" s="102"/>
      <c r="P66" s="102"/>
    </row>
    <row r="67" spans="1:16">
      <c r="A67" s="333" t="s">
        <v>39</v>
      </c>
      <c r="B67" s="334"/>
      <c r="C67" s="334"/>
      <c r="D67" s="295">
        <f>IF('Segment Tables'!$C$60="No",VLOOKUP($A67,'Segment Tables'!$B$62:$M$68,MATCH($J$9&amp;", FI",'Segment Tables'!$B$62:$M$62,0),FALSE),VLOOKUP($A67,'Segment Tables'!$B$71:$M$76,MATCH($J$9&amp;", FI",'Segment Tables'!$B$71:$M$71,0),FALSE))</f>
        <v>6.0000000000000001E-3</v>
      </c>
      <c r="E67" s="296"/>
      <c r="F67" s="295">
        <f t="shared" si="0"/>
        <v>3.6554257472453376E-3</v>
      </c>
      <c r="G67" s="296"/>
      <c r="H67" s="295">
        <f>IF('Segment Tables'!$C$60="No",VLOOKUP($A67,'Segment Tables'!$B$62:$M$68,MATCH($J$9&amp;", PDO",'Segment Tables'!$B$62:$M$62,0),FALSE),VLOOKUP($A67,'Segment Tables'!$B$71:$M$76,MATCH($J$9&amp;", PDO",'Segment Tables'!$B$71:$M$71,0),FALSE))</f>
        <v>8.0000000000000002E-3</v>
      </c>
      <c r="I67" s="296"/>
      <c r="J67" s="295">
        <f t="shared" si="1"/>
        <v>1.0169003313324475E-2</v>
      </c>
      <c r="K67" s="296"/>
      <c r="L67" s="308">
        <f t="shared" si="2"/>
        <v>1.3824429060569812E-2</v>
      </c>
      <c r="M67" s="308"/>
      <c r="N67" s="295"/>
      <c r="O67" s="1"/>
      <c r="P67" s="1"/>
    </row>
    <row r="68" spans="1:16">
      <c r="A68" s="333" t="str">
        <f>IF('Segment Tables'!$C$60="No","Sideswipe, same direction","Sideswipe")</f>
        <v>Sideswipe</v>
      </c>
      <c r="B68" s="334"/>
      <c r="C68" s="334"/>
      <c r="D68" s="295">
        <f>IF('Segment Tables'!$C$60="No",VLOOKUP($A68,'Segment Tables'!$B$62:$M$68,MATCH($J$9&amp;", FI",'Segment Tables'!$B$62:$M$62,0),FALSE),VLOOKUP($A68,'Segment Tables'!$B$71:$M$76,MATCH($J$9&amp;", FI",'Segment Tables'!$B$71:$M$71,0),FALSE))</f>
        <v>0.11800000000000001</v>
      </c>
      <c r="E68" s="296"/>
      <c r="F68" s="295">
        <f t="shared" si="0"/>
        <v>7.189003969582497E-2</v>
      </c>
      <c r="G68" s="296"/>
      <c r="H68" s="295">
        <f>IF('Segment Tables'!$C$60="No",VLOOKUP($A68,'Segment Tables'!$B$62:$M$68,MATCH($J$9&amp;", PDO",'Segment Tables'!$B$62:$M$62,0),FALSE),VLOOKUP($A68,'Segment Tables'!$B$71:$M$76,MATCH($J$9&amp;", PDO",'Segment Tables'!$B$71:$M$71,0),FALSE))</f>
        <v>0.29899999999999999</v>
      </c>
      <c r="I68" s="296"/>
      <c r="J68" s="295">
        <f t="shared" si="1"/>
        <v>0.38006649883550225</v>
      </c>
      <c r="K68" s="296"/>
      <c r="L68" s="308">
        <f t="shared" si="2"/>
        <v>0.45195653853132722</v>
      </c>
      <c r="M68" s="308"/>
      <c r="N68" s="295"/>
      <c r="O68" s="1"/>
      <c r="P68" s="1"/>
    </row>
    <row r="69" spans="1:16">
      <c r="A69" s="333" t="str">
        <f>IF('Segment Tables'!$C$60="No","Sideswipe, opposite direction","--")</f>
        <v>--</v>
      </c>
      <c r="B69" s="334"/>
      <c r="C69" s="334"/>
      <c r="D69" s="295" t="str">
        <f>IF('Segment Tables'!$C$60="No",VLOOKUP($A69,'Segment Tables'!$B$62:$M$68,MATCH($J$9&amp;", FI",'Segment Tables'!$B$62:$M$62,0),FALSE),"--")</f>
        <v>--</v>
      </c>
      <c r="E69" s="296"/>
      <c r="F69" s="295" t="str">
        <f>IF('Segment Tables'!$C$60="No",+$F$63*$D69,"--")</f>
        <v>--</v>
      </c>
      <c r="G69" s="296"/>
      <c r="H69" s="295" t="str">
        <f>IF('Segment Tables'!$C$60="No",VLOOKUP($A69,'Segment Tables'!$B$62:$M$68,MATCH($J$9&amp;", PDO",'Segment Tables'!$B$62:$M$62,0),FALSE),"--")</f>
        <v>--</v>
      </c>
      <c r="I69" s="296"/>
      <c r="J69" s="295" t="str">
        <f>IF('Segment Tables'!$C$60="No",+$J$63*H69,"--")</f>
        <v>--</v>
      </c>
      <c r="K69" s="296"/>
      <c r="L69" s="308" t="str">
        <f>IF('Segment Tables'!$C$60="No",+F69+J69,"--")</f>
        <v>--</v>
      </c>
      <c r="M69" s="308"/>
      <c r="N69" s="295"/>
      <c r="O69" s="103"/>
      <c r="P69" s="103"/>
    </row>
    <row r="70" spans="1:16" ht="13.8" thickBot="1">
      <c r="A70" s="303" t="s">
        <v>255</v>
      </c>
      <c r="B70" s="304"/>
      <c r="C70" s="304"/>
      <c r="D70" s="305">
        <f>IF('Segment Tables'!$C$60="No",VLOOKUP($A70,'Segment Tables'!$B$62:$M$68,MATCH($J$9&amp;", FI",'Segment Tables'!$B$62:$M$62,0),FALSE),VLOOKUP($A70,'Segment Tables'!$B$71:$M$76,MATCH($J$9&amp;", FI",'Segment Tables'!$B$71:$M$71,0),FALSE))</f>
        <v>0.33899999999999997</v>
      </c>
      <c r="E70" s="306"/>
      <c r="F70" s="305">
        <f t="shared" si="0"/>
        <v>0.20653155471936155</v>
      </c>
      <c r="G70" s="306"/>
      <c r="H70" s="305">
        <f>IF('Segment Tables'!$C$60="No",VLOOKUP($A70,'Segment Tables'!$B$62:$M$68,MATCH($J$9&amp;", PDO",'Segment Tables'!$B$62:$M$62,0),FALSE),VLOOKUP($A70,'Segment Tables'!$B$71:$M$76,MATCH($J$9&amp;", PDO",'Segment Tables'!$B$71:$M$71,0),FALSE))</f>
        <v>0.28499999999999998</v>
      </c>
      <c r="I70" s="306"/>
      <c r="J70" s="305">
        <f t="shared" si="1"/>
        <v>0.36227074303718443</v>
      </c>
      <c r="K70" s="306"/>
      <c r="L70" s="307">
        <f t="shared" si="2"/>
        <v>0.568802297756546</v>
      </c>
      <c r="M70" s="307"/>
      <c r="N70" s="305"/>
      <c r="O70" s="1"/>
      <c r="P70" s="1"/>
    </row>
    <row r="71" spans="1:16">
      <c r="C71" s="24"/>
      <c r="D71" s="24"/>
      <c r="E71" s="24"/>
      <c r="F71" s="24"/>
      <c r="G71" s="24"/>
      <c r="H71" s="24"/>
      <c r="I71" s="24"/>
      <c r="J71" s="24"/>
      <c r="K71" s="24"/>
      <c r="L71" s="24"/>
      <c r="M71" s="24"/>
      <c r="N71" s="24"/>
      <c r="O71" s="24"/>
      <c r="P71" s="24"/>
    </row>
    <row r="72" spans="1:16">
      <c r="A72" s="22"/>
      <c r="B72" s="22"/>
      <c r="C72" s="22"/>
      <c r="D72" s="38"/>
      <c r="E72" s="22"/>
      <c r="F72" s="22"/>
      <c r="G72" s="28"/>
      <c r="I72" s="22"/>
      <c r="J72" s="38"/>
      <c r="K72" s="1"/>
      <c r="L72" s="22"/>
      <c r="M72" s="38"/>
      <c r="N72" s="1"/>
      <c r="O72" s="1"/>
      <c r="P72" s="1"/>
    </row>
    <row r="73" spans="1:16" ht="13.8" thickBot="1">
      <c r="A73" s="22"/>
      <c r="B73" s="22"/>
      <c r="C73" s="22"/>
      <c r="D73" s="38"/>
      <c r="E73" s="22"/>
      <c r="F73" s="22"/>
      <c r="G73" s="28"/>
      <c r="I73" s="22"/>
      <c r="J73" s="38"/>
      <c r="K73" s="1"/>
      <c r="L73" s="22"/>
      <c r="M73" s="38"/>
      <c r="N73" s="1"/>
      <c r="O73" s="1"/>
      <c r="P73" s="1"/>
    </row>
    <row r="74" spans="1:16" ht="14.4" thickTop="1" thickBot="1">
      <c r="A74" s="302" t="s">
        <v>257</v>
      </c>
      <c r="B74" s="358"/>
      <c r="C74" s="358"/>
      <c r="D74" s="358"/>
      <c r="E74" s="358"/>
      <c r="F74" s="358"/>
      <c r="G74" s="358"/>
      <c r="H74" s="358"/>
      <c r="I74" s="358"/>
      <c r="J74" s="405"/>
      <c r="K74" s="405"/>
      <c r="L74" s="405"/>
      <c r="M74" s="405"/>
      <c r="N74" s="405"/>
      <c r="O74" s="1"/>
      <c r="P74" s="1"/>
    </row>
    <row r="75" spans="1:16" ht="13.5" customHeight="1">
      <c r="A75" s="297" t="s">
        <v>15</v>
      </c>
      <c r="B75" s="298"/>
      <c r="C75" s="288" t="s">
        <v>16</v>
      </c>
      <c r="D75" s="406"/>
      <c r="E75" s="349" t="s">
        <v>17</v>
      </c>
      <c r="F75" s="298"/>
      <c r="G75" s="349" t="s">
        <v>18</v>
      </c>
      <c r="H75" s="298"/>
      <c r="I75" s="349" t="s">
        <v>19</v>
      </c>
      <c r="J75" s="298"/>
      <c r="K75" s="2" t="s">
        <v>20</v>
      </c>
      <c r="L75" s="30" t="s">
        <v>21</v>
      </c>
      <c r="M75" s="30" t="s">
        <v>22</v>
      </c>
      <c r="N75" s="67" t="s">
        <v>23</v>
      </c>
      <c r="O75" s="1"/>
      <c r="P75" s="1"/>
    </row>
    <row r="76" spans="1:16" ht="13.2" customHeight="1">
      <c r="A76" s="341" t="s">
        <v>31</v>
      </c>
      <c r="B76" s="392"/>
      <c r="C76" s="397" t="s">
        <v>86</v>
      </c>
      <c r="D76" s="398"/>
      <c r="E76" s="399" t="s">
        <v>684</v>
      </c>
      <c r="F76" s="400"/>
      <c r="G76" s="403" t="s">
        <v>225</v>
      </c>
      <c r="H76" s="403"/>
      <c r="I76" s="338" t="s">
        <v>226</v>
      </c>
      <c r="J76" s="398"/>
      <c r="K76" s="403" t="s">
        <v>259</v>
      </c>
      <c r="L76" s="338" t="s">
        <v>33</v>
      </c>
      <c r="M76" s="338" t="s">
        <v>750</v>
      </c>
      <c r="N76" s="354" t="s">
        <v>260</v>
      </c>
      <c r="O76" s="1"/>
      <c r="P76" s="1"/>
    </row>
    <row r="77" spans="1:16" ht="13.2" customHeight="1">
      <c r="A77" s="393"/>
      <c r="B77" s="394"/>
      <c r="C77" s="353"/>
      <c r="D77" s="353"/>
      <c r="E77" s="401"/>
      <c r="F77" s="402"/>
      <c r="G77" s="353"/>
      <c r="H77" s="353"/>
      <c r="I77" s="398"/>
      <c r="J77" s="398"/>
      <c r="K77" s="352"/>
      <c r="L77" s="352"/>
      <c r="M77" s="352"/>
      <c r="N77" s="354"/>
      <c r="O77" s="1"/>
      <c r="P77" s="1"/>
    </row>
    <row r="78" spans="1:16" ht="13.2" customHeight="1">
      <c r="A78" s="393"/>
      <c r="B78" s="394"/>
      <c r="C78" s="290" t="s">
        <v>598</v>
      </c>
      <c r="D78" s="290"/>
      <c r="E78" s="319" t="s">
        <v>598</v>
      </c>
      <c r="F78" s="408"/>
      <c r="G78" s="348" t="s">
        <v>258</v>
      </c>
      <c r="H78" s="348"/>
      <c r="I78" s="398"/>
      <c r="J78" s="398"/>
      <c r="K78" s="348" t="s">
        <v>230</v>
      </c>
      <c r="L78" s="411" t="s">
        <v>231</v>
      </c>
      <c r="M78" s="353"/>
      <c r="N78" s="319" t="s">
        <v>232</v>
      </c>
      <c r="O78" s="1"/>
      <c r="P78" s="1"/>
    </row>
    <row r="79" spans="1:16" ht="13.2" customHeight="1">
      <c r="A79" s="395"/>
      <c r="B79" s="396"/>
      <c r="C79" s="70" t="s">
        <v>87</v>
      </c>
      <c r="D79" s="70" t="s">
        <v>88</v>
      </c>
      <c r="E79" s="409" t="s">
        <v>652</v>
      </c>
      <c r="F79" s="410"/>
      <c r="G79" s="407"/>
      <c r="H79" s="407"/>
      <c r="I79" s="398"/>
      <c r="J79" s="398"/>
      <c r="K79" s="300"/>
      <c r="L79" s="352"/>
      <c r="M79" s="353"/>
      <c r="N79" s="412"/>
      <c r="O79" s="1"/>
      <c r="P79" s="1"/>
    </row>
    <row r="80" spans="1:16">
      <c r="A80" s="336" t="s">
        <v>34</v>
      </c>
      <c r="B80" s="357"/>
      <c r="C80" s="11">
        <f>IF('Segment Tables'!$M$4="No",VLOOKUP($J$9,'Segment Tables'!$K$9:$N$13,MATCH(C$79,'Segment Tables'!$K$7:$N$7,0), FALSE),VLOOKUP($J$9,'Segment Tables'!$O$9:$R$13,MATCH(C$79,'Segment Tables'!$O$7:$R$7,0), FALSE))</f>
        <v>-3.9049999999999998</v>
      </c>
      <c r="D80" s="11">
        <f>IF('Segment Tables'!$M$4="No",VLOOKUP($J$9,'Segment Tables'!$K$9:$N$13,MATCH(D$79,'Segment Tables'!$K$7:$N$7,0), FALSE),VLOOKUP($J$9,'Segment Tables'!$O$9:$R$13,MATCH(D$79,'Segment Tables'!$O$7:$R$7,0), FALSE))</f>
        <v>0.436</v>
      </c>
      <c r="E80" s="390">
        <f>IF('Segment Tables'!$M$4="No",VLOOKUP($J$9,'Segment Tables'!$K$9:$N$13,MATCH(E$79,'Segment Tables'!$K$7:$N$7,0), FALSE),VLOOKUP($J$9,'Segment Tables'!$O$9:$R$13,MATCH(E$79,'Segment Tables'!$O$7:$R$7,0), FALSE))</f>
        <v>0.56699999999999995</v>
      </c>
      <c r="F80" s="391" t="e">
        <f>IF('Segment Tables'!$M$4="No",VLOOKUP($J$9,'Segment Tables'!$K$9:$N$13,MATCH(F$79,'Segment Tables'!$K$7:$N$7,0), FALSE),VLOOKUP($J$9,'Segment Tables'!$O$9:$R$13,MATCH(F$79,'Segment Tables'!$O$7:$R$7,0), FALSE))</f>
        <v>#N/A</v>
      </c>
      <c r="G80" s="295">
        <f>EXP($C80+($D80*LN($J$11))+LN($J$10))</f>
        <v>1.20463270015653</v>
      </c>
      <c r="H80" s="296"/>
      <c r="I80" s="295">
        <v>1</v>
      </c>
      <c r="J80" s="296"/>
      <c r="K80" s="3">
        <f>$G$80*I80</f>
        <v>1.20463270015653</v>
      </c>
      <c r="L80" s="184">
        <f>+$M$38</f>
        <v>0.9040490304853922</v>
      </c>
      <c r="M80" s="11">
        <f>$J$28*VLOOKUP(VLOOKUP($J$12,'Segment Tables'!$O$59:$P$85,MATCH("Region",'Segment Tables'!$O$59:$P$59,0),FALSE),'Segment Tables'!$K$28:$P$33,MATCH($J$9,'Segment Tables'!$K$28:$P$28,0),FALSE)</f>
        <v>1</v>
      </c>
      <c r="N80" s="185">
        <f>+K80*L80*M80</f>
        <v>1.089047024667511</v>
      </c>
      <c r="O80" s="24"/>
      <c r="P80" s="24"/>
    </row>
    <row r="81" spans="1:16" ht="15.6">
      <c r="A81" s="383" t="s">
        <v>35</v>
      </c>
      <c r="B81" s="383"/>
      <c r="C81" s="364" t="str">
        <f>IF('Segment Tables'!$M$4="No",VLOOKUP($J$9,'Segment Tables'!$K$15:$N$19,MATCH(C$79,'Segment Tables'!$K$7:$N$7,0), FALSE),"--")</f>
        <v>--</v>
      </c>
      <c r="D81" s="364" t="str">
        <f>IF('Segment Tables'!$M$4="No",VLOOKUP($J$9,'Segment Tables'!$K$15:$N$19,MATCH(D$79,'Segment Tables'!$K$7:$N$7,0), FALSE),"--")</f>
        <v>--</v>
      </c>
      <c r="E81" s="375" t="str">
        <f>IF('Segment Tables'!$M$4="No",VLOOKUP($J$9,'Segment Tables'!$K$15:$N$19,MATCH(E$79,'Segment Tables'!$K$7:$N$7,0), FALSE),"--")</f>
        <v>--</v>
      </c>
      <c r="F81" s="376" t="str">
        <f>IF('Segment Tables'!$M$4="No",VLOOKUP($J$9,'Segment Tables'!$K$15:$N$19,MATCH(F$79,'Segment Tables'!$K$7:$N$7,0), FALSE),"--")</f>
        <v>--</v>
      </c>
      <c r="G81" s="379">
        <f>IF('Segment Tables'!$M$4="No",EXP($C81+($D81*LN($J$11))+LN($J$10)),G80*HLOOKUP(J9,'Segment Tables'!M48:Q55,6,FALSE)/100)</f>
        <v>0.40355195455243753</v>
      </c>
      <c r="H81" s="380"/>
      <c r="I81" s="290" t="s">
        <v>233</v>
      </c>
      <c r="J81" s="291"/>
      <c r="K81" s="360">
        <f>$G$80*I82</f>
        <v>0.40355195455243753</v>
      </c>
      <c r="L81" s="362">
        <f>+$M$38</f>
        <v>0.9040490304853922</v>
      </c>
      <c r="M81" s="364">
        <f>$J$28*VLOOKUP(VLOOKUP($J$12,'Segment Tables'!$O$59:$P$85,MATCH("Region",'Segment Tables'!$O$59:$P$59,0),FALSE),'Segment Tables'!$K$28:$P$33,MATCH($J$9,'Segment Tables'!$K$28:$P$28,0),FALSE)</f>
        <v>1</v>
      </c>
      <c r="N81" s="366">
        <f>+K81*L81*M81</f>
        <v>0.36483075326361619</v>
      </c>
      <c r="O81" s="24"/>
      <c r="P81" s="24"/>
    </row>
    <row r="82" spans="1:16">
      <c r="A82" s="384"/>
      <c r="B82" s="384"/>
      <c r="C82" s="385"/>
      <c r="D82" s="385"/>
      <c r="E82" s="386"/>
      <c r="F82" s="387"/>
      <c r="G82" s="388"/>
      <c r="H82" s="389"/>
      <c r="I82" s="295">
        <f>G81/(G81+G83)</f>
        <v>0.33499999999999996</v>
      </c>
      <c r="J82" s="296"/>
      <c r="K82" s="368"/>
      <c r="L82" s="369"/>
      <c r="M82" s="404">
        <f>$J$28*VLOOKUP(VLOOKUP($J$12,'Segment Tables'!$O$59:$P$85,MATCH("Region",'Segment Tables'!$O$59:$P$59,0),FALSE),'Segment Tables'!$K$28:$P$33,MATCH($J$9,'Segment Tables'!$K$28:$P$28,0),FALSE)</f>
        <v>1</v>
      </c>
      <c r="N82" s="370"/>
      <c r="O82" s="24"/>
      <c r="P82" s="24"/>
    </row>
    <row r="83" spans="1:16" ht="15.6" customHeight="1">
      <c r="A83" s="301" t="s">
        <v>36</v>
      </c>
      <c r="B83" s="371"/>
      <c r="C83" s="364" t="str">
        <f>IF('Segment Tables'!$M$4="No",VLOOKUP($J$9,'Segment Tables'!$B$21:$E$25,MATCH(C$47,'Segment Tables'!$B$7:$E$7,0), FALSE),"--")</f>
        <v>--</v>
      </c>
      <c r="D83" s="364" t="str">
        <f>IF('Segment Tables'!$M$4="No",VLOOKUP($J$9,'Segment Tables'!$B$21:$E$25,MATCH(D$47,'Segment Tables'!$B$7:$E$7,0), FALSE),"--")</f>
        <v>--</v>
      </c>
      <c r="E83" s="375" t="str">
        <f>IF('Segment Tables'!$M$4="No",VLOOKUP($J$9,'Segment Tables'!$B$21:$E$25,MATCH(E$47,'Segment Tables'!$B$7:$E$7,0), FALSE),"--")</f>
        <v>--</v>
      </c>
      <c r="F83" s="376" t="str">
        <f>IF('Segment Tables'!$M$4="No",VLOOKUP($J$9,'Segment Tables'!$B$21:$E$25,MATCH(F$47,'Segment Tables'!$B$7:$E$7,0), FALSE),"--")</f>
        <v>--</v>
      </c>
      <c r="G83" s="379">
        <f>IF('Segment Tables'!$M$4="No",EXP($C83+($D83*LN($J$11))+LN($J$10)),G80*HLOOKUP(J9,'Segment Tables'!M48:Q55,7,FALSE)/100)</f>
        <v>0.80108074560409248</v>
      </c>
      <c r="H83" s="380"/>
      <c r="I83" s="290" t="s">
        <v>234</v>
      </c>
      <c r="J83" s="291"/>
      <c r="K83" s="360">
        <f>$G$80*I84</f>
        <v>0.80108074560409248</v>
      </c>
      <c r="L83" s="362">
        <f>+$M$38</f>
        <v>0.9040490304853922</v>
      </c>
      <c r="M83" s="364">
        <f>$J$28*VLOOKUP(VLOOKUP($J$12,'Segment Tables'!$O$59:$P$85,MATCH("Region",'Segment Tables'!$O$59:$P$59,0),FALSE),'Segment Tables'!$K$28:$P$33,MATCH($J$9,'Segment Tables'!$K$28:$P$28,0),FALSE)</f>
        <v>1</v>
      </c>
      <c r="N83" s="366">
        <f>+K83*L83*M83</f>
        <v>0.72421627140389488</v>
      </c>
      <c r="O83" s="24"/>
      <c r="P83" s="24"/>
    </row>
    <row r="84" spans="1:16" ht="13.8" thickBot="1">
      <c r="A84" s="372"/>
      <c r="B84" s="373"/>
      <c r="C84" s="374"/>
      <c r="D84" s="374"/>
      <c r="E84" s="377"/>
      <c r="F84" s="378"/>
      <c r="G84" s="381"/>
      <c r="H84" s="382"/>
      <c r="I84" s="305">
        <f>I80-I82</f>
        <v>0.66500000000000004</v>
      </c>
      <c r="J84" s="306"/>
      <c r="K84" s="361"/>
      <c r="L84" s="363"/>
      <c r="M84" s="365">
        <f>$J$28*VLOOKUP(VLOOKUP($J$12,'Segment Tables'!$O$59:$P$85,MATCH("Region",'Segment Tables'!$O$59:$P$59,0),FALSE),'Segment Tables'!$K$28:$P$33,MATCH($J$9,'Segment Tables'!$K$28:$P$28,0),FALSE)</f>
        <v>1</v>
      </c>
      <c r="N84" s="367"/>
      <c r="O84" s="24"/>
      <c r="P84" s="24"/>
    </row>
    <row r="85" spans="1:16">
      <c r="C85" s="24"/>
      <c r="D85" s="24"/>
      <c r="E85" s="24"/>
      <c r="F85" s="24"/>
      <c r="G85" s="24"/>
      <c r="H85" s="24"/>
      <c r="I85" s="24"/>
      <c r="J85" s="24"/>
      <c r="K85" s="24"/>
      <c r="L85" s="24"/>
      <c r="M85" s="24"/>
      <c r="N85" s="24"/>
      <c r="O85" s="24"/>
      <c r="P85" s="24"/>
    </row>
    <row r="86" spans="1:16">
      <c r="C86" s="24"/>
      <c r="D86" s="24"/>
      <c r="E86" s="24"/>
      <c r="F86" s="24"/>
      <c r="G86" s="24"/>
      <c r="H86" s="24"/>
      <c r="I86" s="24"/>
      <c r="J86" s="24"/>
      <c r="K86" s="24"/>
      <c r="L86" s="24"/>
      <c r="M86" s="24"/>
      <c r="N86" s="24"/>
      <c r="O86" s="24"/>
      <c r="P86" s="24"/>
    </row>
    <row r="87" spans="1:16" ht="13.8" thickBot="1">
      <c r="C87" s="24"/>
      <c r="D87" s="24"/>
      <c r="E87" s="24"/>
      <c r="F87" s="24"/>
      <c r="G87" s="24"/>
      <c r="H87" s="24"/>
      <c r="I87" s="24"/>
      <c r="J87" s="24"/>
      <c r="K87" s="24"/>
      <c r="L87" s="24"/>
      <c r="M87" s="24"/>
      <c r="N87" s="24"/>
      <c r="O87" s="24"/>
      <c r="P87" s="24"/>
    </row>
    <row r="88" spans="1:16" ht="14.4" thickTop="1" thickBot="1">
      <c r="A88" s="302" t="s">
        <v>261</v>
      </c>
      <c r="B88" s="358"/>
      <c r="C88" s="358"/>
      <c r="D88" s="358"/>
      <c r="E88" s="358"/>
      <c r="F88" s="358"/>
      <c r="G88" s="358"/>
      <c r="H88" s="358"/>
      <c r="I88" s="359"/>
      <c r="J88" s="359"/>
      <c r="K88" s="359"/>
      <c r="L88" s="359"/>
      <c r="M88" s="359"/>
      <c r="N88" s="359"/>
      <c r="O88" s="24"/>
      <c r="P88" s="24"/>
    </row>
    <row r="89" spans="1:16">
      <c r="A89" s="297" t="s">
        <v>15</v>
      </c>
      <c r="B89" s="298"/>
      <c r="C89" s="298"/>
      <c r="D89" s="349" t="s">
        <v>16</v>
      </c>
      <c r="E89" s="350"/>
      <c r="F89" s="349" t="s">
        <v>17</v>
      </c>
      <c r="G89" s="349"/>
      <c r="H89" s="287" t="s">
        <v>18</v>
      </c>
      <c r="I89" s="350"/>
      <c r="J89" s="349" t="s">
        <v>19</v>
      </c>
      <c r="K89" s="349"/>
      <c r="L89" s="287" t="s">
        <v>20</v>
      </c>
      <c r="M89" s="350"/>
      <c r="N89" s="351"/>
      <c r="O89" s="24"/>
      <c r="P89" s="24"/>
    </row>
    <row r="90" spans="1:16" ht="13.2" customHeight="1">
      <c r="A90" s="341" t="s">
        <v>37</v>
      </c>
      <c r="B90" s="341"/>
      <c r="C90" s="342"/>
      <c r="D90" s="338" t="s">
        <v>38</v>
      </c>
      <c r="E90" s="291"/>
      <c r="F90" s="338" t="s">
        <v>266</v>
      </c>
      <c r="G90" s="338"/>
      <c r="H90" s="338" t="s">
        <v>256</v>
      </c>
      <c r="I90" s="291"/>
      <c r="J90" s="338" t="s">
        <v>271</v>
      </c>
      <c r="K90" s="338"/>
      <c r="L90" s="289" t="s">
        <v>269</v>
      </c>
      <c r="M90" s="289"/>
      <c r="N90" s="339"/>
      <c r="O90" s="24"/>
      <c r="P90" s="24"/>
    </row>
    <row r="91" spans="1:16">
      <c r="A91" s="343"/>
      <c r="B91" s="343"/>
      <c r="C91" s="344"/>
      <c r="D91" s="291"/>
      <c r="E91" s="291"/>
      <c r="F91" s="291"/>
      <c r="G91" s="291"/>
      <c r="H91" s="291"/>
      <c r="I91" s="291"/>
      <c r="J91" s="291"/>
      <c r="K91" s="291"/>
      <c r="L91" s="340"/>
      <c r="M91" s="340"/>
      <c r="N91" s="339"/>
      <c r="O91" s="24"/>
      <c r="P91" s="24"/>
    </row>
    <row r="92" spans="1:16">
      <c r="A92" s="345"/>
      <c r="B92" s="345"/>
      <c r="C92" s="344"/>
      <c r="D92" s="291"/>
      <c r="E92" s="291"/>
      <c r="F92" s="291"/>
      <c r="G92" s="291"/>
      <c r="H92" s="291"/>
      <c r="I92" s="291"/>
      <c r="J92" s="291"/>
      <c r="K92" s="291"/>
      <c r="L92" s="340"/>
      <c r="M92" s="340"/>
      <c r="N92" s="339"/>
      <c r="O92" s="24"/>
      <c r="P92" s="24"/>
    </row>
    <row r="93" spans="1:16" ht="13.2" customHeight="1">
      <c r="A93" s="345"/>
      <c r="B93" s="345"/>
      <c r="C93" s="344"/>
      <c r="D93" s="348" t="s">
        <v>599</v>
      </c>
      <c r="E93" s="334"/>
      <c r="F93" s="355" t="s">
        <v>267</v>
      </c>
      <c r="G93" s="356"/>
      <c r="H93" s="348" t="s">
        <v>599</v>
      </c>
      <c r="I93" s="334"/>
      <c r="J93" s="355" t="s">
        <v>268</v>
      </c>
      <c r="K93" s="356"/>
      <c r="L93" s="355" t="s">
        <v>270</v>
      </c>
      <c r="M93" s="356"/>
      <c r="N93" s="357"/>
      <c r="O93" s="24"/>
      <c r="P93" s="24"/>
    </row>
    <row r="94" spans="1:16">
      <c r="A94" s="346"/>
      <c r="B94" s="346"/>
      <c r="C94" s="347"/>
      <c r="D94" s="291"/>
      <c r="E94" s="334"/>
      <c r="F94" s="291"/>
      <c r="G94" s="291"/>
      <c r="H94" s="291"/>
      <c r="I94" s="334"/>
      <c r="J94" s="291"/>
      <c r="K94" s="291"/>
      <c r="L94" s="291"/>
      <c r="M94" s="291"/>
      <c r="N94" s="357"/>
      <c r="O94" s="24"/>
      <c r="P94" s="24"/>
    </row>
    <row r="95" spans="1:16">
      <c r="A95" s="336" t="s">
        <v>34</v>
      </c>
      <c r="B95" s="334"/>
      <c r="C95" s="334"/>
      <c r="D95" s="308">
        <v>1</v>
      </c>
      <c r="E95" s="308"/>
      <c r="F95" s="295">
        <f>+N81</f>
        <v>0.36483075326361619</v>
      </c>
      <c r="G95" s="286"/>
      <c r="H95" s="308">
        <v>1</v>
      </c>
      <c r="I95" s="308"/>
      <c r="J95" s="295">
        <f>+N83</f>
        <v>0.72421627140389488</v>
      </c>
      <c r="K95" s="286"/>
      <c r="L95" s="295">
        <f>+N80</f>
        <v>1.089047024667511</v>
      </c>
      <c r="M95" s="337"/>
      <c r="N95" s="337"/>
      <c r="O95" s="24"/>
      <c r="P95" s="24"/>
    </row>
    <row r="96" spans="1:16" ht="15.6">
      <c r="A96" s="336"/>
      <c r="B96" s="334"/>
      <c r="C96" s="334"/>
      <c r="D96" s="334"/>
      <c r="E96" s="334"/>
      <c r="F96" s="335" t="s">
        <v>248</v>
      </c>
      <c r="G96" s="291"/>
      <c r="H96" s="334"/>
      <c r="I96" s="334"/>
      <c r="J96" s="335" t="s">
        <v>249</v>
      </c>
      <c r="K96" s="291"/>
      <c r="L96" s="335" t="s">
        <v>250</v>
      </c>
      <c r="M96" s="291"/>
      <c r="N96" s="285"/>
      <c r="O96" s="24"/>
      <c r="P96" s="24"/>
    </row>
    <row r="97" spans="1:16">
      <c r="A97" s="326" t="s">
        <v>262</v>
      </c>
      <c r="B97" s="334"/>
      <c r="C97" s="334"/>
      <c r="D97" s="295">
        <f>IF('Segment Tables'!$C$82="No",VLOOKUP($A97,'Segment Tables'!$B$84:$M$88,MATCH($J$9&amp;", FI",'Segment Tables'!$B$84:$M$84,0),FALSE),VLOOKUP($A97,'Segment Tables'!$B$91:$M$95,MATCH($J$9&amp;", FI",'Segment Tables'!$B$91:$M$91,0),FALSE))</f>
        <v>0</v>
      </c>
      <c r="E97" s="296"/>
      <c r="F97" s="295">
        <f>+$F$95*$D97</f>
        <v>0</v>
      </c>
      <c r="G97" s="296"/>
      <c r="H97" s="295">
        <f>IF('Segment Tables'!$C$82="No",VLOOKUP($A97,'Segment Tables'!$B$84:$M$88,MATCH($J$9&amp;", PDO",'Segment Tables'!$B$84:$M$84,0),FALSE),VLOOKUP($A97,'Segment Tables'!$B$91:$M$95,MATCH($J$9&amp;", PDO",'Segment Tables'!$B$91:$M$91,0),FALSE))</f>
        <v>0.10099999999999999</v>
      </c>
      <c r="I97" s="296"/>
      <c r="J97" s="295">
        <f>+$J$95*H97</f>
        <v>7.3145843411793379E-2</v>
      </c>
      <c r="K97" s="296"/>
      <c r="L97" s="308">
        <f>+F97+J97</f>
        <v>7.3145843411793379E-2</v>
      </c>
      <c r="M97" s="308"/>
      <c r="N97" s="295"/>
      <c r="O97" s="24"/>
      <c r="P97" s="24"/>
    </row>
    <row r="98" spans="1:16">
      <c r="A98" s="333" t="s">
        <v>263</v>
      </c>
      <c r="B98" s="334"/>
      <c r="C98" s="334"/>
      <c r="D98" s="295">
        <f>IF('Segment Tables'!$C$82="No",VLOOKUP($A98,'Segment Tables'!$B$84:$M$88,MATCH($J$9&amp;", FI",'Segment Tables'!$B$84:$M$84,0),FALSE),VLOOKUP($A98,'Segment Tables'!$B$91:$M$95,MATCH($J$9&amp;", FI",'Segment Tables'!$B$91:$M$91,0),FALSE))</f>
        <v>0.49200000000000005</v>
      </c>
      <c r="E98" s="296"/>
      <c r="F98" s="295">
        <f>+$F$95*$D98</f>
        <v>0.17949673060569918</v>
      </c>
      <c r="G98" s="296"/>
      <c r="H98" s="295">
        <f>IF('Segment Tables'!$C$82="No",VLOOKUP($A98,'Segment Tables'!$B$84:$M$88,MATCH($J$9&amp;", PDO",'Segment Tables'!$B$84:$M$84,0),FALSE),VLOOKUP($A98,'Segment Tables'!$B$91:$M$95,MATCH($J$9&amp;", PDO",'Segment Tables'!$B$91:$M$91,0),FALSE))</f>
        <v>0.70499999999999996</v>
      </c>
      <c r="I98" s="296"/>
      <c r="J98" s="295">
        <f>+$J$95*H98</f>
        <v>0.51057247133974581</v>
      </c>
      <c r="K98" s="296"/>
      <c r="L98" s="308">
        <f>+F98+J98</f>
        <v>0.69006920194544497</v>
      </c>
      <c r="M98" s="308"/>
      <c r="N98" s="295"/>
      <c r="O98" s="24"/>
      <c r="P98" s="24"/>
    </row>
    <row r="99" spans="1:16">
      <c r="A99" s="333" t="s">
        <v>264</v>
      </c>
      <c r="B99" s="334"/>
      <c r="C99" s="334"/>
      <c r="D99" s="295">
        <f>IF('Segment Tables'!$C$82="No",VLOOKUP($A99,'Segment Tables'!$B$84:$M$88,MATCH($J$9&amp;", FI",'Segment Tables'!$B$84:$M$84,0),FALSE),VLOOKUP($A99,'Segment Tables'!$B$91:$M$95,MATCH($J$9&amp;", FI",'Segment Tables'!$B$91:$M$91,0),FALSE))</f>
        <v>1.7000000000000001E-2</v>
      </c>
      <c r="E99" s="296"/>
      <c r="F99" s="295">
        <f>+$F$95*$D99</f>
        <v>6.2021228054814758E-3</v>
      </c>
      <c r="G99" s="296"/>
      <c r="H99" s="295">
        <f>IF('Segment Tables'!$C$82="No",VLOOKUP($A99,'Segment Tables'!$B$84:$M$88,MATCH($J$9&amp;", PDO",'Segment Tables'!$B$84:$M$84,0),FALSE),VLOOKUP($A99,'Segment Tables'!$B$91:$M$95,MATCH($J$9&amp;", PDO",'Segment Tables'!$B$91:$M$91,0),FALSE))</f>
        <v>2.4E-2</v>
      </c>
      <c r="I99" s="296"/>
      <c r="J99" s="295">
        <f>+$J$95*H99</f>
        <v>1.7381190513693478E-2</v>
      </c>
      <c r="K99" s="296"/>
      <c r="L99" s="308">
        <f>+F99+J99</f>
        <v>2.3583313319174952E-2</v>
      </c>
      <c r="M99" s="308"/>
      <c r="N99" s="295"/>
      <c r="O99" s="24"/>
      <c r="P99" s="24"/>
    </row>
    <row r="100" spans="1:16" ht="13.8" thickBot="1">
      <c r="A100" s="303" t="s">
        <v>265</v>
      </c>
      <c r="B100" s="304"/>
      <c r="C100" s="304"/>
      <c r="D100" s="305">
        <f>IF('Segment Tables'!$C$82="No",VLOOKUP($A100,'Segment Tables'!$B$84:$M$88,MATCH($J$9&amp;", FI",'Segment Tables'!$B$84:$M$84,0),FALSE),VLOOKUP($A100,'Segment Tables'!$B$91:$M$95,MATCH($J$9&amp;", FI",'Segment Tables'!$B$91:$M$91,0),FALSE))</f>
        <v>0.49200000000000005</v>
      </c>
      <c r="E100" s="306"/>
      <c r="F100" s="305">
        <f>+$F$95*$D100</f>
        <v>0.17949673060569918</v>
      </c>
      <c r="G100" s="306"/>
      <c r="H100" s="305">
        <f>IF('Segment Tables'!$C$82="No",VLOOKUP($A100,'Segment Tables'!$B$84:$M$88,MATCH($J$9&amp;", PDO",'Segment Tables'!$B$84:$M$84,0),FALSE),VLOOKUP($A100,'Segment Tables'!$B$91:$M$95,MATCH($J$9&amp;", PDO",'Segment Tables'!$B$91:$M$91,0),FALSE))</f>
        <v>0.16899999999999998</v>
      </c>
      <c r="I100" s="306"/>
      <c r="J100" s="305">
        <f>+$J$95*H100</f>
        <v>0.12239254986725823</v>
      </c>
      <c r="K100" s="306"/>
      <c r="L100" s="307">
        <f>+F100+J100</f>
        <v>0.30188928047295738</v>
      </c>
      <c r="M100" s="307"/>
      <c r="N100" s="305"/>
      <c r="O100" s="24"/>
      <c r="P100" s="24"/>
    </row>
    <row r="101" spans="1:16">
      <c r="C101" s="24"/>
      <c r="D101" s="24"/>
      <c r="E101" s="24"/>
      <c r="F101" s="24"/>
      <c r="G101" s="24"/>
      <c r="H101" s="24"/>
      <c r="I101" s="24"/>
      <c r="J101" s="24"/>
      <c r="K101" s="24"/>
      <c r="L101" s="24"/>
      <c r="M101" s="24"/>
      <c r="N101" s="24"/>
      <c r="O101" s="24"/>
      <c r="P101" s="24"/>
    </row>
    <row r="102" spans="1:16">
      <c r="C102" s="24"/>
      <c r="D102" s="24"/>
      <c r="E102" s="24"/>
      <c r="F102" s="24"/>
      <c r="G102" s="24"/>
      <c r="H102" s="24"/>
      <c r="I102" s="24"/>
      <c r="J102" s="24"/>
      <c r="K102" s="24"/>
      <c r="L102" s="24"/>
      <c r="M102" s="24"/>
      <c r="N102" s="24"/>
      <c r="O102" s="24"/>
      <c r="P102" s="24"/>
    </row>
    <row r="103" spans="1:16" ht="13.8" thickBot="1">
      <c r="C103" s="24"/>
      <c r="D103" s="24"/>
      <c r="E103" s="24"/>
      <c r="F103" s="24"/>
      <c r="G103" s="24"/>
      <c r="H103" s="24"/>
      <c r="I103" s="24"/>
      <c r="J103" s="24"/>
      <c r="K103" s="24"/>
      <c r="L103" s="24"/>
      <c r="M103" s="24"/>
      <c r="N103" s="24"/>
      <c r="O103" s="24"/>
      <c r="P103" s="24"/>
    </row>
    <row r="104" spans="1:16" ht="14.4" thickTop="1" thickBot="1">
      <c r="A104" s="302" t="s">
        <v>272</v>
      </c>
      <c r="B104" s="358"/>
      <c r="C104" s="358"/>
      <c r="D104" s="358"/>
      <c r="E104" s="358"/>
      <c r="F104" s="358"/>
      <c r="G104" s="358"/>
      <c r="H104" s="358"/>
      <c r="I104" s="359"/>
      <c r="J104" s="359"/>
      <c r="K104" s="359"/>
      <c r="L104" s="359"/>
      <c r="M104" s="359"/>
      <c r="N104" s="359"/>
      <c r="O104" s="24"/>
      <c r="P104" s="24"/>
    </row>
    <row r="105" spans="1:16">
      <c r="A105" s="513" t="s">
        <v>15</v>
      </c>
      <c r="B105" s="514"/>
      <c r="C105" s="514"/>
      <c r="D105" s="515" t="s">
        <v>16</v>
      </c>
      <c r="E105" s="516"/>
      <c r="F105" s="517" t="s">
        <v>17</v>
      </c>
      <c r="G105" s="516"/>
      <c r="H105" s="517" t="s">
        <v>18</v>
      </c>
      <c r="I105" s="523"/>
      <c r="J105" s="517" t="s">
        <v>19</v>
      </c>
      <c r="K105" s="523"/>
      <c r="L105" s="523"/>
      <c r="M105" s="517" t="s">
        <v>20</v>
      </c>
      <c r="N105" s="516"/>
      <c r="O105" s="24"/>
      <c r="P105" s="24"/>
    </row>
    <row r="106" spans="1:16" ht="13.2" customHeight="1">
      <c r="A106" s="506" t="s">
        <v>273</v>
      </c>
      <c r="B106" s="507"/>
      <c r="C106" s="507"/>
      <c r="D106" s="502" t="s">
        <v>278</v>
      </c>
      <c r="E106" s="502"/>
      <c r="F106" s="502" t="s">
        <v>276</v>
      </c>
      <c r="G106" s="502"/>
      <c r="H106" s="502" t="s">
        <v>275</v>
      </c>
      <c r="I106" s="502"/>
      <c r="J106" s="502" t="s">
        <v>277</v>
      </c>
      <c r="K106" s="502"/>
      <c r="L106" s="502"/>
      <c r="M106" s="502" t="s">
        <v>274</v>
      </c>
      <c r="N106" s="313"/>
      <c r="O106" s="33"/>
      <c r="P106" s="33"/>
    </row>
    <row r="107" spans="1:16">
      <c r="A107" s="508"/>
      <c r="B107" s="509"/>
      <c r="C107" s="509"/>
      <c r="D107" s="503"/>
      <c r="E107" s="503"/>
      <c r="F107" s="522"/>
      <c r="G107" s="522"/>
      <c r="H107" s="522"/>
      <c r="I107" s="522"/>
      <c r="J107" s="522"/>
      <c r="K107" s="522"/>
      <c r="L107" s="522"/>
      <c r="M107" s="522"/>
      <c r="N107" s="315"/>
    </row>
    <row r="108" spans="1:16" ht="13.2" customHeight="1">
      <c r="A108" s="508"/>
      <c r="B108" s="509"/>
      <c r="C108" s="509"/>
      <c r="D108" s="503"/>
      <c r="E108" s="503"/>
      <c r="F108" s="499" t="s">
        <v>600</v>
      </c>
      <c r="G108" s="500"/>
      <c r="H108" s="499" t="s">
        <v>600</v>
      </c>
      <c r="I108" s="500"/>
      <c r="J108" s="504" t="s">
        <v>279</v>
      </c>
      <c r="K108" s="504"/>
      <c r="L108" s="504"/>
      <c r="M108" s="518" t="s">
        <v>600</v>
      </c>
      <c r="N108" s="519"/>
    </row>
    <row r="109" spans="1:16" ht="15.6">
      <c r="A109" s="510"/>
      <c r="B109" s="511"/>
      <c r="C109" s="511"/>
      <c r="D109" s="501"/>
      <c r="E109" s="501"/>
      <c r="F109" s="501"/>
      <c r="G109" s="501"/>
      <c r="H109" s="501"/>
      <c r="I109" s="501"/>
      <c r="J109" s="524" t="s">
        <v>280</v>
      </c>
      <c r="K109" s="524"/>
      <c r="L109" s="524"/>
      <c r="M109" s="520"/>
      <c r="N109" s="521"/>
      <c r="O109" s="25"/>
      <c r="P109" s="25"/>
    </row>
    <row r="110" spans="1:16">
      <c r="A110" s="326" t="s">
        <v>281</v>
      </c>
      <c r="B110" s="512"/>
      <c r="C110" s="512"/>
      <c r="D110" s="329">
        <f t="shared" ref="D110:D116" si="3">+J18</f>
        <v>1</v>
      </c>
      <c r="E110" s="329"/>
      <c r="F110" s="308">
        <f>HLOOKUP($J$9,'Segment Tables'!$D$31:$H$39,3,FALSE)</f>
        <v>3.3000000000000002E-2</v>
      </c>
      <c r="G110" s="308"/>
      <c r="H110" s="308">
        <f>HLOOKUP($J$9,'Segment Tables'!$D$31:$H$47,11,FALSE)</f>
        <v>1.1060000000000001</v>
      </c>
      <c r="I110" s="308"/>
      <c r="J110" s="505">
        <f>POWER(($J$11/15000),H110)*D110*F110</f>
        <v>5.2945370774215079E-2</v>
      </c>
      <c r="K110" s="308"/>
      <c r="L110" s="308"/>
      <c r="M110" s="526" t="s">
        <v>13</v>
      </c>
      <c r="N110" s="527"/>
      <c r="O110" s="1"/>
      <c r="P110" s="24"/>
    </row>
    <row r="111" spans="1:16">
      <c r="A111" s="330" t="s">
        <v>282</v>
      </c>
      <c r="B111" s="331"/>
      <c r="C111" s="331"/>
      <c r="D111" s="329">
        <f t="shared" si="3"/>
        <v>4</v>
      </c>
      <c r="E111" s="329"/>
      <c r="F111" s="308">
        <f>HLOOKUP($J$9,'Segment Tables'!$D$31:$H$39,4,FALSE)</f>
        <v>1.0999999999999999E-2</v>
      </c>
      <c r="G111" s="308"/>
      <c r="H111" s="308">
        <f>HLOOKUP($J$9,'Segment Tables'!$D$31:$H$47,11,FALSE)</f>
        <v>1.1060000000000001</v>
      </c>
      <c r="I111" s="308"/>
      <c r="J111" s="505">
        <f t="shared" ref="J111:J116" si="4">POWER(($J$11/15000),H111)*D111*F111</f>
        <v>7.0593827698953435E-2</v>
      </c>
      <c r="K111" s="308"/>
      <c r="L111" s="308"/>
      <c r="M111" s="528"/>
      <c r="N111" s="529"/>
      <c r="O111" s="5"/>
      <c r="P111" s="24"/>
    </row>
    <row r="112" spans="1:16">
      <c r="A112" s="330" t="s">
        <v>283</v>
      </c>
      <c r="B112" s="331"/>
      <c r="C112" s="331"/>
      <c r="D112" s="329">
        <f t="shared" si="3"/>
        <v>0</v>
      </c>
      <c r="E112" s="329"/>
      <c r="F112" s="308">
        <f>HLOOKUP($J$9,'Segment Tables'!$D$31:$H$39,5,FALSE)</f>
        <v>3.5999999999999997E-2</v>
      </c>
      <c r="G112" s="308"/>
      <c r="H112" s="308">
        <f>HLOOKUP($J$9,'Segment Tables'!$D$31:$H$47,11,FALSE)</f>
        <v>1.1060000000000001</v>
      </c>
      <c r="I112" s="308"/>
      <c r="J112" s="505">
        <f t="shared" si="4"/>
        <v>0</v>
      </c>
      <c r="K112" s="308"/>
      <c r="L112" s="308"/>
      <c r="M112" s="528"/>
      <c r="N112" s="529"/>
      <c r="O112" s="1"/>
      <c r="P112" s="24"/>
    </row>
    <row r="113" spans="1:16">
      <c r="A113" s="326" t="s">
        <v>284</v>
      </c>
      <c r="B113" s="327"/>
      <c r="C113" s="327"/>
      <c r="D113" s="329">
        <f t="shared" si="3"/>
        <v>1</v>
      </c>
      <c r="E113" s="329"/>
      <c r="F113" s="308">
        <f>HLOOKUP($J$9,'Segment Tables'!$D$31:$H$39,6,FALSE)</f>
        <v>5.0000000000000001E-3</v>
      </c>
      <c r="G113" s="308"/>
      <c r="H113" s="308">
        <f>HLOOKUP($J$9,'Segment Tables'!$D$31:$H$47,11,FALSE)</f>
        <v>1.1060000000000001</v>
      </c>
      <c r="I113" s="308"/>
      <c r="J113" s="505">
        <f t="shared" si="4"/>
        <v>8.0220258748810724E-3</v>
      </c>
      <c r="K113" s="308"/>
      <c r="L113" s="308"/>
      <c r="M113" s="528"/>
      <c r="N113" s="529"/>
      <c r="O113" s="10"/>
      <c r="P113" s="24"/>
    </row>
    <row r="114" spans="1:16">
      <c r="A114" s="326" t="s">
        <v>285</v>
      </c>
      <c r="B114" s="327"/>
      <c r="C114" s="327"/>
      <c r="D114" s="329">
        <f t="shared" si="3"/>
        <v>1</v>
      </c>
      <c r="E114" s="329"/>
      <c r="F114" s="308">
        <f>HLOOKUP($J$9,'Segment Tables'!$D$31:$H$39,7,FALSE)</f>
        <v>1.7999999999999999E-2</v>
      </c>
      <c r="G114" s="308"/>
      <c r="H114" s="308">
        <f>HLOOKUP($J$9,'Segment Tables'!$D$31:$H$47,11,FALSE)</f>
        <v>1.1060000000000001</v>
      </c>
      <c r="I114" s="308"/>
      <c r="J114" s="505">
        <f t="shared" si="4"/>
        <v>2.8879293149571859E-2</v>
      </c>
      <c r="K114" s="308"/>
      <c r="L114" s="308"/>
      <c r="M114" s="528"/>
      <c r="N114" s="529"/>
      <c r="O114" s="10"/>
      <c r="P114" s="24"/>
    </row>
    <row r="115" spans="1:16">
      <c r="A115" s="326" t="s">
        <v>286</v>
      </c>
      <c r="B115" s="327"/>
      <c r="C115" s="327"/>
      <c r="D115" s="329">
        <f t="shared" si="3"/>
        <v>1</v>
      </c>
      <c r="E115" s="329"/>
      <c r="F115" s="308">
        <f>HLOOKUP($J$9,'Segment Tables'!$D$31:$H$39,8,FALSE)</f>
        <v>3.0000000000000001E-3</v>
      </c>
      <c r="G115" s="308"/>
      <c r="H115" s="308">
        <f>HLOOKUP($J$9,'Segment Tables'!$D$31:$H$47,11,FALSE)</f>
        <v>1.1060000000000001</v>
      </c>
      <c r="I115" s="308"/>
      <c r="J115" s="505">
        <f t="shared" si="4"/>
        <v>4.813215524928644E-3</v>
      </c>
      <c r="K115" s="308"/>
      <c r="L115" s="308"/>
      <c r="M115" s="528"/>
      <c r="N115" s="529"/>
      <c r="O115" s="10"/>
      <c r="P115" s="24"/>
    </row>
    <row r="116" spans="1:16">
      <c r="A116" s="326" t="s">
        <v>94</v>
      </c>
      <c r="B116" s="327"/>
      <c r="C116" s="327"/>
      <c r="D116" s="329">
        <f t="shared" si="3"/>
        <v>0</v>
      </c>
      <c r="E116" s="329"/>
      <c r="F116" s="308">
        <f>HLOOKUP($J$9,'Segment Tables'!$D$31:$H$39,9,FALSE)</f>
        <v>5.0000000000000001E-3</v>
      </c>
      <c r="G116" s="308"/>
      <c r="H116" s="308">
        <f>HLOOKUP($J$9,'Segment Tables'!$D$31:$H$47,11,FALSE)</f>
        <v>1.1060000000000001</v>
      </c>
      <c r="I116" s="308"/>
      <c r="J116" s="505">
        <f t="shared" si="4"/>
        <v>0</v>
      </c>
      <c r="K116" s="308"/>
      <c r="L116" s="308"/>
      <c r="M116" s="530"/>
      <c r="N116" s="531"/>
      <c r="O116" s="10"/>
      <c r="P116" s="24"/>
    </row>
    <row r="117" spans="1:16" ht="13.8" thickBot="1">
      <c r="A117" s="303" t="s">
        <v>34</v>
      </c>
      <c r="B117" s="328"/>
      <c r="C117" s="328"/>
      <c r="D117" s="283" t="s">
        <v>13</v>
      </c>
      <c r="E117" s="332"/>
      <c r="F117" s="283" t="s">
        <v>13</v>
      </c>
      <c r="G117" s="332"/>
      <c r="H117" s="283" t="s">
        <v>13</v>
      </c>
      <c r="I117" s="332"/>
      <c r="J117" s="307">
        <f>SUM(J110:L116)</f>
        <v>0.16525373302255009</v>
      </c>
      <c r="K117" s="525"/>
      <c r="L117" s="525"/>
      <c r="M117" s="321">
        <f>HLOOKUP($J$9,'Segment Tables'!$D$31:$H$50,IF('Segment Tables'!$D$29="No",13,20),FALSE)</f>
        <v>1.48</v>
      </c>
      <c r="N117" s="417"/>
      <c r="O117" s="33"/>
      <c r="P117" s="24"/>
    </row>
    <row r="120" spans="1:16" ht="13.8" thickBot="1"/>
    <row r="121" spans="1:16" ht="14.4" thickTop="1" thickBot="1">
      <c r="A121" s="302" t="s">
        <v>287</v>
      </c>
      <c r="B121" s="358"/>
      <c r="C121" s="358"/>
      <c r="D121" s="358"/>
      <c r="E121" s="358"/>
      <c r="F121" s="358"/>
      <c r="G121" s="358"/>
      <c r="H121" s="358"/>
      <c r="I121" s="359"/>
      <c r="J121" s="359"/>
      <c r="K121" s="359"/>
      <c r="L121" s="359"/>
      <c r="M121" s="359"/>
      <c r="N121" s="359"/>
    </row>
    <row r="122" spans="1:16">
      <c r="A122" s="297" t="s">
        <v>15</v>
      </c>
      <c r="B122" s="298"/>
      <c r="C122" s="298"/>
      <c r="D122" s="287" t="s">
        <v>16</v>
      </c>
      <c r="E122" s="287"/>
      <c r="F122" s="287" t="s">
        <v>17</v>
      </c>
      <c r="G122" s="287"/>
      <c r="H122" s="30" t="s">
        <v>18</v>
      </c>
      <c r="I122" s="287" t="s">
        <v>19</v>
      </c>
      <c r="J122" s="287"/>
      <c r="K122" s="287" t="s">
        <v>20</v>
      </c>
      <c r="L122" s="287"/>
      <c r="M122" s="287" t="s">
        <v>21</v>
      </c>
      <c r="N122" s="288"/>
    </row>
    <row r="123" spans="1:16" ht="13.2" customHeight="1">
      <c r="A123" s="299" t="s">
        <v>31</v>
      </c>
      <c r="B123" s="300"/>
      <c r="C123" s="300"/>
      <c r="D123" s="534" t="s">
        <v>277</v>
      </c>
      <c r="E123" s="534"/>
      <c r="F123" s="289" t="s">
        <v>288</v>
      </c>
      <c r="G123" s="289"/>
      <c r="H123" s="289" t="s">
        <v>289</v>
      </c>
      <c r="I123" s="289" t="s">
        <v>33</v>
      </c>
      <c r="J123" s="289"/>
      <c r="K123" s="289" t="s">
        <v>750</v>
      </c>
      <c r="L123" s="289"/>
      <c r="M123" s="289" t="s">
        <v>290</v>
      </c>
      <c r="N123" s="533"/>
    </row>
    <row r="124" spans="1:16">
      <c r="A124" s="301"/>
      <c r="B124" s="300"/>
      <c r="C124" s="300"/>
      <c r="D124" s="534"/>
      <c r="E124" s="534"/>
      <c r="F124" s="289"/>
      <c r="G124" s="289"/>
      <c r="H124" s="289"/>
      <c r="I124" s="289"/>
      <c r="J124" s="289"/>
      <c r="K124" s="289"/>
      <c r="L124" s="289"/>
      <c r="M124" s="289"/>
      <c r="N124" s="533"/>
    </row>
    <row r="125" spans="1:16" ht="13.2" customHeight="1">
      <c r="A125" s="301"/>
      <c r="B125" s="300"/>
      <c r="C125" s="300"/>
      <c r="D125" s="348" t="s">
        <v>291</v>
      </c>
      <c r="E125" s="532"/>
      <c r="F125" s="348" t="s">
        <v>600</v>
      </c>
      <c r="G125" s="532"/>
      <c r="H125" s="348" t="s">
        <v>292</v>
      </c>
      <c r="I125" s="348" t="s">
        <v>231</v>
      </c>
      <c r="J125" s="532"/>
      <c r="K125" s="532"/>
      <c r="L125" s="532"/>
      <c r="M125" s="348" t="s">
        <v>293</v>
      </c>
      <c r="N125" s="412"/>
    </row>
    <row r="126" spans="1:16" ht="14.25" customHeight="1">
      <c r="A126" s="301"/>
      <c r="B126" s="300"/>
      <c r="C126" s="300"/>
      <c r="D126" s="532"/>
      <c r="E126" s="532"/>
      <c r="F126" s="532"/>
      <c r="G126" s="532"/>
      <c r="H126" s="532"/>
      <c r="I126" s="532"/>
      <c r="J126" s="532"/>
      <c r="K126" s="532"/>
      <c r="L126" s="532"/>
      <c r="M126" s="532"/>
      <c r="N126" s="412"/>
    </row>
    <row r="127" spans="1:16">
      <c r="A127" s="292" t="s">
        <v>34</v>
      </c>
      <c r="B127" s="293"/>
      <c r="C127" s="293"/>
      <c r="D127" s="295">
        <f>+J117</f>
        <v>0.16525373302255009</v>
      </c>
      <c r="E127" s="286"/>
      <c r="F127" s="308">
        <v>1</v>
      </c>
      <c r="G127" s="308"/>
      <c r="H127" s="3">
        <f>+$D$127*F127</f>
        <v>0.16525373302255009</v>
      </c>
      <c r="I127" s="538">
        <f>+$M$38</f>
        <v>0.9040490304853922</v>
      </c>
      <c r="J127" s="539"/>
      <c r="K127" s="390">
        <f>$J$28*IF('Segment Tables'!$D$29="No",1,HLOOKUP($J$9,'Segment Tables'!$D$31:$H$50,19,FALSE))*VLOOKUP(VLOOKUP($J$12,'Segment Tables'!$O$59:$P$85,MATCH("Region",'Segment Tables'!$O$59:$P$59,0),FALSE),'Segment Tables'!$K$28:$P$33,MATCH($J$9,'Segment Tables'!$K$28:$P$28,0),FALSE)</f>
        <v>2.08</v>
      </c>
      <c r="L127" s="286">
        <f>$J$28*VLOOKUP(VLOOKUP($J$12,'Segment Tables'!$O$59:$P$85,MATCH("Region",'Segment Tables'!$O$59:$P$59,0),FALSE),'Segment Tables'!$K$28:$P$33,MATCH($J$9,'Segment Tables'!$K$28:$P$28,0),FALSE)</f>
        <v>1</v>
      </c>
      <c r="M127" s="535">
        <f>+H127*I127*K127</f>
        <v>0.31074675241610678</v>
      </c>
      <c r="N127" s="536"/>
    </row>
    <row r="128" spans="1:16">
      <c r="A128" s="292" t="s">
        <v>133</v>
      </c>
      <c r="B128" s="293"/>
      <c r="C128" s="293"/>
      <c r="D128" s="537" t="s">
        <v>13</v>
      </c>
      <c r="E128" s="286"/>
      <c r="F128" s="308">
        <f>HLOOKUP($J$9,'Segment Tables'!$D$31:$H$47,15,FALSE)</f>
        <v>0.28399999999999997</v>
      </c>
      <c r="G128" s="308"/>
      <c r="H128" s="3">
        <f>+$D$127*F128</f>
        <v>4.693206017840422E-2</v>
      </c>
      <c r="I128" s="538">
        <f>+$M$38</f>
        <v>0.9040490304853922</v>
      </c>
      <c r="J128" s="539"/>
      <c r="K128" s="390">
        <f>$J$28*IF('Segment Tables'!$D$29="No",1,HLOOKUP($J$9,'Segment Tables'!$D$31:$H$50,19,FALSE))*VLOOKUP(VLOOKUP($J$12,'Segment Tables'!$O$59:$P$85,MATCH("Region",'Segment Tables'!$O$59:$P$59,0),FALSE),'Segment Tables'!$K$28:$P$33,MATCH($J$9,'Segment Tables'!$K$28:$P$28,0),FALSE)</f>
        <v>2.08</v>
      </c>
      <c r="L128" s="286">
        <f>$J$28*VLOOKUP(VLOOKUP($J$12,'Segment Tables'!$O$59:$P$85,MATCH("Region",'Segment Tables'!$O$59:$P$59,0),FALSE),'Segment Tables'!$K$28:$P$33,MATCH($J$9,'Segment Tables'!$K$28:$P$28,0),FALSE)</f>
        <v>1</v>
      </c>
      <c r="M128" s="535">
        <f>+H128*I128*K128</f>
        <v>8.825207768617431E-2</v>
      </c>
      <c r="N128" s="536"/>
    </row>
    <row r="129" spans="1:14" ht="13.8" thickBot="1">
      <c r="A129" s="309" t="s">
        <v>134</v>
      </c>
      <c r="B129" s="310"/>
      <c r="C129" s="310"/>
      <c r="D129" s="283" t="s">
        <v>13</v>
      </c>
      <c r="E129" s="332"/>
      <c r="F129" s="307">
        <f>HLOOKUP($J$9,'Segment Tables'!$D$31:$H$47,17,FALSE)</f>
        <v>0.71599999999999997</v>
      </c>
      <c r="G129" s="307"/>
      <c r="H129" s="37">
        <f>+$D$127*F129</f>
        <v>0.11832167284414585</v>
      </c>
      <c r="I129" s="415">
        <f>+$M$38</f>
        <v>0.9040490304853922</v>
      </c>
      <c r="J129" s="540"/>
      <c r="K129" s="417">
        <f>$J$28*IF('Segment Tables'!$D$29="No",1,HLOOKUP($J$9,'Segment Tables'!$D$31:$H$50,19,FALSE))*VLOOKUP(VLOOKUP($J$12,'Segment Tables'!$O$59:$P$85,MATCH("Region",'Segment Tables'!$O$59:$P$59,0),FALSE),'Segment Tables'!$K$28:$P$33,MATCH($J$9,'Segment Tables'!$K$28:$P$28,0),FALSE)</f>
        <v>2.08</v>
      </c>
      <c r="L129" s="332">
        <f>$J$28*VLOOKUP(VLOOKUP($J$12,'Segment Tables'!$O$59:$P$85,MATCH("Region",'Segment Tables'!$O$59:$P$59,0),FALSE),'Segment Tables'!$K$28:$P$33,MATCH($J$9,'Segment Tables'!$K$28:$P$28,0),FALSE)</f>
        <v>1</v>
      </c>
      <c r="M129" s="541">
        <f>+H129*I129*K129</f>
        <v>0.22249467472993242</v>
      </c>
      <c r="N129" s="542"/>
    </row>
    <row r="132" spans="1:14" ht="13.8" thickBot="1"/>
    <row r="133" spans="1:14" ht="14.4" thickTop="1" thickBot="1">
      <c r="A133" s="302" t="s">
        <v>294</v>
      </c>
      <c r="B133" s="358"/>
      <c r="C133" s="358"/>
      <c r="D133" s="358"/>
      <c r="E133" s="358"/>
      <c r="F133" s="358"/>
      <c r="G133" s="358"/>
      <c r="H133" s="358"/>
      <c r="I133" s="359"/>
      <c r="J133" s="359"/>
      <c r="K133" s="359"/>
      <c r="L133" s="359"/>
      <c r="M133" s="359"/>
      <c r="N133" s="359"/>
    </row>
    <row r="134" spans="1:14">
      <c r="A134" s="406" t="s">
        <v>15</v>
      </c>
      <c r="B134" s="287"/>
      <c r="C134" s="287" t="s">
        <v>16</v>
      </c>
      <c r="D134" s="287"/>
      <c r="E134" s="287" t="s">
        <v>17</v>
      </c>
      <c r="F134" s="287"/>
      <c r="G134" s="287" t="s">
        <v>18</v>
      </c>
      <c r="H134" s="287"/>
      <c r="I134" s="287" t="s">
        <v>19</v>
      </c>
      <c r="J134" s="287"/>
      <c r="K134" s="288" t="s">
        <v>20</v>
      </c>
      <c r="L134" s="406"/>
      <c r="M134" s="287" t="s">
        <v>21</v>
      </c>
      <c r="N134" s="288"/>
    </row>
    <row r="135" spans="1:14" ht="14.4" customHeight="1">
      <c r="A135" s="299" t="s">
        <v>31</v>
      </c>
      <c r="B135" s="545"/>
      <c r="C135" s="543" t="s">
        <v>228</v>
      </c>
      <c r="D135" s="543"/>
      <c r="E135" s="543" t="s">
        <v>260</v>
      </c>
      <c r="F135" s="543"/>
      <c r="G135" s="543" t="s">
        <v>290</v>
      </c>
      <c r="H135" s="543"/>
      <c r="I135" s="543" t="s">
        <v>297</v>
      </c>
      <c r="J135" s="543"/>
      <c r="K135" s="472" t="s">
        <v>303</v>
      </c>
      <c r="L135" s="544"/>
      <c r="M135" s="289" t="s">
        <v>295</v>
      </c>
      <c r="N135" s="412"/>
    </row>
    <row r="136" spans="1:14" ht="14.4" customHeight="1">
      <c r="A136" s="299"/>
      <c r="B136" s="545"/>
      <c r="C136" s="348" t="s">
        <v>298</v>
      </c>
      <c r="D136" s="532"/>
      <c r="E136" s="348" t="s">
        <v>299</v>
      </c>
      <c r="F136" s="532"/>
      <c r="G136" s="348" t="s">
        <v>300</v>
      </c>
      <c r="H136" s="348"/>
      <c r="I136" s="348" t="s">
        <v>301</v>
      </c>
      <c r="J136" s="532"/>
      <c r="K136" s="551" t="s">
        <v>601</v>
      </c>
      <c r="L136" s="552"/>
      <c r="M136" s="348" t="s">
        <v>818</v>
      </c>
      <c r="N136" s="319"/>
    </row>
    <row r="137" spans="1:14" ht="14.4" customHeight="1">
      <c r="A137" s="299"/>
      <c r="B137" s="545"/>
      <c r="C137" s="532"/>
      <c r="D137" s="532"/>
      <c r="E137" s="532"/>
      <c r="F137" s="532"/>
      <c r="G137" s="348"/>
      <c r="H137" s="348"/>
      <c r="I137" s="532"/>
      <c r="J137" s="532"/>
      <c r="K137" s="553"/>
      <c r="L137" s="554"/>
      <c r="M137" s="532"/>
      <c r="N137" s="412"/>
    </row>
    <row r="138" spans="1:14">
      <c r="A138" s="292" t="s">
        <v>34</v>
      </c>
      <c r="B138" s="334"/>
      <c r="C138" s="295">
        <f>+$N$48</f>
        <v>1.8803630387064492</v>
      </c>
      <c r="D138" s="286"/>
      <c r="E138" s="295">
        <f>+$N$80</f>
        <v>1.089047024667511</v>
      </c>
      <c r="F138" s="286"/>
      <c r="G138" s="295">
        <f>+$M$127</f>
        <v>0.31074675241610678</v>
      </c>
      <c r="H138" s="286"/>
      <c r="I138" s="295">
        <f>+C138+E138+G138</f>
        <v>3.2801568157900669</v>
      </c>
      <c r="J138" s="286"/>
      <c r="K138" s="285">
        <f>IF('Segment Tables'!$C$101="No", (IF($J$25="Posted Speed 30 mph or Lower",VLOOKUP($J$9,'Segment Tables'!$B$104:$K$108,3,FALSE),VLOOKUP($J$9,'Segment Tables'!$B$104:$K$108,5,FALSE))),(IF($J$25="Posted Speed 30 mph or Lower", VLOOKUP($J$9,'Segment Tables'!$B$104:$K$108,7,FALSE),VLOOKUP($J$9,'Segment Tables'!$B$104:$K$108,9,FALSE))))</f>
        <v>1.9E-2</v>
      </c>
      <c r="L138" s="286"/>
      <c r="M138" s="547">
        <f>+$I$138*$K$138</f>
        <v>6.2322979500011269E-2</v>
      </c>
      <c r="N138" s="548"/>
    </row>
    <row r="139" spans="1:14" ht="13.8" thickBot="1">
      <c r="A139" s="309" t="s">
        <v>133</v>
      </c>
      <c r="B139" s="304"/>
      <c r="C139" s="546" t="s">
        <v>13</v>
      </c>
      <c r="D139" s="525"/>
      <c r="E139" s="546" t="s">
        <v>13</v>
      </c>
      <c r="F139" s="525"/>
      <c r="G139" s="546" t="s">
        <v>13</v>
      </c>
      <c r="H139" s="525"/>
      <c r="I139" s="546" t="s">
        <v>13</v>
      </c>
      <c r="J139" s="525"/>
      <c r="K139" s="283" t="s">
        <v>13</v>
      </c>
      <c r="L139" s="284"/>
      <c r="M139" s="549">
        <f>+$I$138*$K$138</f>
        <v>6.2322979500011269E-2</v>
      </c>
      <c r="N139" s="550"/>
    </row>
    <row r="142" spans="1:14" ht="13.8" thickBot="1"/>
    <row r="143" spans="1:14" ht="14.4" thickTop="1" thickBot="1">
      <c r="A143" s="302" t="s">
        <v>302</v>
      </c>
      <c r="B143" s="358"/>
      <c r="C143" s="358"/>
      <c r="D143" s="358"/>
      <c r="E143" s="358"/>
      <c r="F143" s="358"/>
      <c r="G143" s="358"/>
      <c r="H143" s="358"/>
      <c r="I143" s="359"/>
      <c r="J143" s="359"/>
      <c r="K143" s="359"/>
      <c r="L143" s="359"/>
      <c r="M143" s="359"/>
      <c r="N143" s="359"/>
    </row>
    <row r="144" spans="1:14">
      <c r="A144" s="406" t="s">
        <v>15</v>
      </c>
      <c r="B144" s="287"/>
      <c r="C144" s="287" t="s">
        <v>16</v>
      </c>
      <c r="D144" s="287"/>
      <c r="E144" s="287" t="s">
        <v>17</v>
      </c>
      <c r="F144" s="287"/>
      <c r="G144" s="287" t="s">
        <v>18</v>
      </c>
      <c r="H144" s="287"/>
      <c r="I144" s="287" t="s">
        <v>19</v>
      </c>
      <c r="J144" s="287"/>
      <c r="K144" s="288" t="s">
        <v>20</v>
      </c>
      <c r="L144" s="406"/>
      <c r="M144" s="287" t="s">
        <v>21</v>
      </c>
      <c r="N144" s="288"/>
    </row>
    <row r="145" spans="1:14" ht="14.4" customHeight="1">
      <c r="A145" s="299" t="s">
        <v>31</v>
      </c>
      <c r="B145" s="545"/>
      <c r="C145" s="543" t="s">
        <v>228</v>
      </c>
      <c r="D145" s="543"/>
      <c r="E145" s="543" t="s">
        <v>260</v>
      </c>
      <c r="F145" s="543"/>
      <c r="G145" s="543" t="s">
        <v>290</v>
      </c>
      <c r="H145" s="543"/>
      <c r="I145" s="543" t="s">
        <v>297</v>
      </c>
      <c r="J145" s="543"/>
      <c r="K145" s="472" t="s">
        <v>296</v>
      </c>
      <c r="L145" s="544"/>
      <c r="M145" s="289" t="s">
        <v>515</v>
      </c>
      <c r="N145" s="412"/>
    </row>
    <row r="146" spans="1:14" ht="14.4" customHeight="1">
      <c r="A146" s="299"/>
      <c r="B146" s="545"/>
      <c r="C146" s="348" t="s">
        <v>298</v>
      </c>
      <c r="D146" s="532"/>
      <c r="E146" s="348" t="s">
        <v>299</v>
      </c>
      <c r="F146" s="532"/>
      <c r="G146" s="348" t="s">
        <v>300</v>
      </c>
      <c r="H146" s="348"/>
      <c r="I146" s="348" t="s">
        <v>301</v>
      </c>
      <c r="J146" s="532"/>
      <c r="K146" s="551" t="s">
        <v>602</v>
      </c>
      <c r="L146" s="552"/>
      <c r="M146" s="348" t="s">
        <v>818</v>
      </c>
      <c r="N146" s="319"/>
    </row>
    <row r="147" spans="1:14" ht="14.4" customHeight="1">
      <c r="A147" s="299"/>
      <c r="B147" s="545"/>
      <c r="C147" s="532"/>
      <c r="D147" s="532"/>
      <c r="E147" s="532"/>
      <c r="F147" s="532"/>
      <c r="G147" s="348"/>
      <c r="H147" s="348"/>
      <c r="I147" s="532"/>
      <c r="J147" s="532"/>
      <c r="K147" s="553"/>
      <c r="L147" s="554"/>
      <c r="M147" s="532"/>
      <c r="N147" s="412"/>
    </row>
    <row r="148" spans="1:14">
      <c r="A148" s="292" t="s">
        <v>34</v>
      </c>
      <c r="B148" s="334"/>
      <c r="C148" s="295">
        <f>+$N$48</f>
        <v>1.8803630387064492</v>
      </c>
      <c r="D148" s="286"/>
      <c r="E148" s="295">
        <f>+$N$80</f>
        <v>1.089047024667511</v>
      </c>
      <c r="F148" s="286"/>
      <c r="G148" s="295">
        <f>+$M$127</f>
        <v>0.31074675241610678</v>
      </c>
      <c r="H148" s="286"/>
      <c r="I148" s="295">
        <f>+C148+E148+G148</f>
        <v>3.2801568157900669</v>
      </c>
      <c r="J148" s="286"/>
      <c r="K148" s="285">
        <f>IF('Segment Tables'!$C$116="No", (IF($J$25="Posted Speed 30 mph or Lower",VLOOKUP($J$9,'Segment Tables'!$B$119:$K$123,3,FALSE),VLOOKUP($J$9,'Segment Tables'!$B$119:$K$123,5,FALSE))),(IF($J$25="Posted Speed 30 mph or Lower", VLOOKUP($J$9,'Segment Tables'!$B$119:$K$123,7,FALSE),VLOOKUP($J$9,'Segment Tables'!$B$119:$K$123,9,FALSE))))</f>
        <v>4.0000000000000001E-3</v>
      </c>
      <c r="L148" s="286"/>
      <c r="M148" s="547">
        <f>+$I$148*$K$148</f>
        <v>1.3120627263160267E-2</v>
      </c>
      <c r="N148" s="548"/>
    </row>
    <row r="149" spans="1:14" ht="13.8" thickBot="1">
      <c r="A149" s="309" t="s">
        <v>133</v>
      </c>
      <c r="B149" s="304"/>
      <c r="C149" s="546" t="s">
        <v>13</v>
      </c>
      <c r="D149" s="525"/>
      <c r="E149" s="546" t="s">
        <v>13</v>
      </c>
      <c r="F149" s="525"/>
      <c r="G149" s="546" t="s">
        <v>13</v>
      </c>
      <c r="H149" s="525"/>
      <c r="I149" s="546" t="s">
        <v>13</v>
      </c>
      <c r="J149" s="525"/>
      <c r="K149" s="283" t="s">
        <v>13</v>
      </c>
      <c r="L149" s="284"/>
      <c r="M149" s="549">
        <f>+$I$148*$K$148</f>
        <v>1.3120627263160267E-2</v>
      </c>
      <c r="N149" s="550"/>
    </row>
    <row r="152" spans="1:14" ht="13.8" thickBot="1"/>
    <row r="153" spans="1:14" ht="14.4" thickTop="1" thickBot="1">
      <c r="A153" s="302" t="s">
        <v>304</v>
      </c>
      <c r="B153" s="358"/>
      <c r="C153" s="358"/>
      <c r="D153" s="358"/>
      <c r="E153" s="358"/>
      <c r="F153" s="358"/>
      <c r="G153" s="358"/>
      <c r="H153" s="358"/>
      <c r="I153" s="359"/>
      <c r="J153" s="359"/>
      <c r="K153" s="359"/>
      <c r="L153" s="359"/>
      <c r="M153" s="359"/>
      <c r="N153" s="359"/>
    </row>
    <row r="154" spans="1:14">
      <c r="A154" s="513" t="s">
        <v>15</v>
      </c>
      <c r="B154" s="514"/>
      <c r="C154" s="514"/>
      <c r="D154" s="514"/>
      <c r="E154" s="514"/>
      <c r="F154" s="555" t="s">
        <v>16</v>
      </c>
      <c r="G154" s="555"/>
      <c r="H154" s="555"/>
      <c r="I154" s="555" t="s">
        <v>17</v>
      </c>
      <c r="J154" s="555"/>
      <c r="K154" s="555"/>
      <c r="L154" s="555" t="s">
        <v>18</v>
      </c>
      <c r="M154" s="555"/>
      <c r="N154" s="556"/>
    </row>
    <row r="155" spans="1:14">
      <c r="A155" s="579" t="s">
        <v>49</v>
      </c>
      <c r="B155" s="580"/>
      <c r="C155" s="580"/>
      <c r="D155" s="580"/>
      <c r="E155" s="580"/>
      <c r="F155" s="564" t="s">
        <v>133</v>
      </c>
      <c r="G155" s="564"/>
      <c r="H155" s="564"/>
      <c r="I155" s="564" t="s">
        <v>134</v>
      </c>
      <c r="J155" s="564"/>
      <c r="K155" s="564"/>
      <c r="L155" s="564" t="s">
        <v>34</v>
      </c>
      <c r="M155" s="564"/>
      <c r="N155" s="565"/>
    </row>
    <row r="156" spans="1:14">
      <c r="A156" s="581"/>
      <c r="B156" s="582"/>
      <c r="C156" s="582"/>
      <c r="D156" s="582"/>
      <c r="E156" s="582"/>
      <c r="F156" s="558" t="s">
        <v>305</v>
      </c>
      <c r="G156" s="558"/>
      <c r="H156" s="558"/>
      <c r="I156" s="558" t="s">
        <v>306</v>
      </c>
      <c r="J156" s="558"/>
      <c r="K156" s="558"/>
      <c r="L156" s="558" t="s">
        <v>308</v>
      </c>
      <c r="M156" s="558"/>
      <c r="N156" s="561"/>
    </row>
    <row r="157" spans="1:14">
      <c r="A157" s="581"/>
      <c r="B157" s="582"/>
      <c r="C157" s="582"/>
      <c r="D157" s="582"/>
      <c r="E157" s="582"/>
      <c r="F157" s="562" t="s">
        <v>307</v>
      </c>
      <c r="G157" s="562"/>
      <c r="H157" s="562"/>
      <c r="I157" s="559" t="s">
        <v>300</v>
      </c>
      <c r="J157" s="559"/>
      <c r="K157" s="559"/>
      <c r="L157" s="562" t="s">
        <v>307</v>
      </c>
      <c r="M157" s="562"/>
      <c r="N157" s="563"/>
    </row>
    <row r="158" spans="1:14">
      <c r="A158" s="583"/>
      <c r="B158" s="584"/>
      <c r="C158" s="584"/>
      <c r="D158" s="584"/>
      <c r="E158" s="584"/>
      <c r="F158" s="557" t="s">
        <v>819</v>
      </c>
      <c r="G158" s="557"/>
      <c r="H158" s="557"/>
      <c r="I158" s="560"/>
      <c r="J158" s="560"/>
      <c r="K158" s="560"/>
      <c r="L158" s="557" t="s">
        <v>819</v>
      </c>
      <c r="M158" s="557"/>
      <c r="N158" s="578"/>
    </row>
    <row r="159" spans="1:14">
      <c r="A159" s="544" t="s">
        <v>309</v>
      </c>
      <c r="B159" s="543"/>
      <c r="C159" s="543"/>
      <c r="D159" s="543"/>
      <c r="E159" s="543"/>
      <c r="F159" s="543"/>
      <c r="G159" s="543"/>
      <c r="H159" s="543"/>
      <c r="I159" s="543"/>
      <c r="J159" s="543"/>
      <c r="K159" s="543"/>
      <c r="L159" s="543"/>
      <c r="M159" s="543"/>
      <c r="N159" s="472"/>
    </row>
    <row r="160" spans="1:14">
      <c r="A160" s="292" t="s">
        <v>311</v>
      </c>
      <c r="B160" s="334"/>
      <c r="C160" s="334"/>
      <c r="D160" s="334"/>
      <c r="E160" s="334"/>
      <c r="F160" s="308">
        <f>+F65</f>
        <v>0.27842159441518655</v>
      </c>
      <c r="G160" s="291"/>
      <c r="H160" s="291"/>
      <c r="I160" s="308">
        <f>+J65</f>
        <v>0.49828116235289932</v>
      </c>
      <c r="J160" s="291"/>
      <c r="K160" s="291"/>
      <c r="L160" s="308">
        <f>+L65</f>
        <v>0.77670275676808587</v>
      </c>
      <c r="M160" s="291"/>
      <c r="N160" s="285"/>
    </row>
    <row r="161" spans="1:14">
      <c r="A161" s="292" t="s">
        <v>312</v>
      </c>
      <c r="B161" s="334"/>
      <c r="C161" s="334"/>
      <c r="D161" s="334"/>
      <c r="E161" s="334"/>
      <c r="F161" s="308">
        <f>+F66</f>
        <v>4.8739009963271171E-2</v>
      </c>
      <c r="G161" s="291"/>
      <c r="H161" s="291"/>
      <c r="I161" s="308">
        <f>+J66</f>
        <v>2.1609132040814511E-2</v>
      </c>
      <c r="J161" s="291"/>
      <c r="K161" s="291"/>
      <c r="L161" s="308">
        <f>+L66</f>
        <v>7.0348142004085679E-2</v>
      </c>
      <c r="M161" s="291"/>
      <c r="N161" s="285"/>
    </row>
    <row r="162" spans="1:14">
      <c r="A162" s="292" t="s">
        <v>313</v>
      </c>
      <c r="B162" s="334"/>
      <c r="C162" s="334"/>
      <c r="D162" s="334"/>
      <c r="E162" s="334"/>
      <c r="F162" s="308">
        <f>+F67</f>
        <v>3.6554257472453376E-3</v>
      </c>
      <c r="G162" s="291"/>
      <c r="H162" s="291"/>
      <c r="I162" s="308">
        <f>+J67</f>
        <v>1.0169003313324475E-2</v>
      </c>
      <c r="J162" s="291"/>
      <c r="K162" s="291"/>
      <c r="L162" s="308">
        <f>+L67</f>
        <v>1.3824429060569812E-2</v>
      </c>
      <c r="M162" s="291"/>
      <c r="N162" s="285"/>
    </row>
    <row r="163" spans="1:14">
      <c r="A163" s="292" t="s">
        <v>314</v>
      </c>
      <c r="B163" s="293"/>
      <c r="C163" s="293"/>
      <c r="D163" s="293"/>
      <c r="E163" s="293"/>
      <c r="F163" s="308">
        <f>+F68</f>
        <v>7.189003969582497E-2</v>
      </c>
      <c r="G163" s="291"/>
      <c r="H163" s="291"/>
      <c r="I163" s="308">
        <f>+J68</f>
        <v>0.38006649883550225</v>
      </c>
      <c r="J163" s="291"/>
      <c r="K163" s="291"/>
      <c r="L163" s="308">
        <f>+L68</f>
        <v>0.45195653853132722</v>
      </c>
      <c r="M163" s="291"/>
      <c r="N163" s="285"/>
    </row>
    <row r="164" spans="1:14">
      <c r="A164" s="292" t="s">
        <v>315</v>
      </c>
      <c r="B164" s="293"/>
      <c r="C164" s="293"/>
      <c r="D164" s="293"/>
      <c r="E164" s="293"/>
      <c r="F164" s="308" t="str">
        <f>+F69</f>
        <v>--</v>
      </c>
      <c r="G164" s="291"/>
      <c r="H164" s="291"/>
      <c r="I164" s="308" t="str">
        <f>+J69</f>
        <v>--</v>
      </c>
      <c r="J164" s="291"/>
      <c r="K164" s="291"/>
      <c r="L164" s="308" t="str">
        <f>+L69</f>
        <v>--</v>
      </c>
      <c r="M164" s="291"/>
      <c r="N164" s="285"/>
    </row>
    <row r="165" spans="1:14">
      <c r="A165" s="292" t="s">
        <v>316</v>
      </c>
      <c r="B165" s="293"/>
      <c r="C165" s="293"/>
      <c r="D165" s="293"/>
      <c r="E165" s="293"/>
      <c r="F165" s="308">
        <f>+M128</f>
        <v>8.825207768617431E-2</v>
      </c>
      <c r="G165" s="291"/>
      <c r="H165" s="291"/>
      <c r="I165" s="308">
        <f>+M129</f>
        <v>0.22249467472993242</v>
      </c>
      <c r="J165" s="291"/>
      <c r="K165" s="291"/>
      <c r="L165" s="308">
        <f>+M127</f>
        <v>0.31074675241610678</v>
      </c>
      <c r="M165" s="291"/>
      <c r="N165" s="285"/>
    </row>
    <row r="166" spans="1:14">
      <c r="A166" s="292" t="s">
        <v>317</v>
      </c>
      <c r="B166" s="293"/>
      <c r="C166" s="293"/>
      <c r="D166" s="293"/>
      <c r="E166" s="293"/>
      <c r="F166" s="308">
        <f>+F70</f>
        <v>0.20653155471936155</v>
      </c>
      <c r="G166" s="291"/>
      <c r="H166" s="291"/>
      <c r="I166" s="308">
        <f>+J70</f>
        <v>0.36227074303718443</v>
      </c>
      <c r="J166" s="291"/>
      <c r="K166" s="291"/>
      <c r="L166" s="308">
        <f>+L70</f>
        <v>0.568802297756546</v>
      </c>
      <c r="M166" s="291"/>
      <c r="N166" s="285"/>
    </row>
    <row r="167" spans="1:14" ht="13.8" thickBot="1">
      <c r="A167" s="573" t="s">
        <v>318</v>
      </c>
      <c r="B167" s="558"/>
      <c r="C167" s="558"/>
      <c r="D167" s="558"/>
      <c r="E167" s="558"/>
      <c r="F167" s="566">
        <f>SUM(F160:H166)</f>
        <v>0.69748970222706386</v>
      </c>
      <c r="G167" s="567"/>
      <c r="H167" s="567"/>
      <c r="I167" s="566">
        <f>SUM(I160:K166)</f>
        <v>1.4948912143096575</v>
      </c>
      <c r="J167" s="567"/>
      <c r="K167" s="567"/>
      <c r="L167" s="566">
        <f>SUM(L160:N166)</f>
        <v>2.1923809165367212</v>
      </c>
      <c r="M167" s="567"/>
      <c r="N167" s="574"/>
    </row>
    <row r="168" spans="1:14">
      <c r="A168" s="568" t="s">
        <v>310</v>
      </c>
      <c r="B168" s="569"/>
      <c r="C168" s="569"/>
      <c r="D168" s="569"/>
      <c r="E168" s="569"/>
      <c r="F168" s="569"/>
      <c r="G168" s="569"/>
      <c r="H168" s="569"/>
      <c r="I168" s="569"/>
      <c r="J168" s="569"/>
      <c r="K168" s="569"/>
      <c r="L168" s="569"/>
      <c r="M168" s="569"/>
      <c r="N168" s="570"/>
    </row>
    <row r="169" spans="1:14">
      <c r="A169" s="292" t="s">
        <v>319</v>
      </c>
      <c r="B169" s="293"/>
      <c r="C169" s="293"/>
      <c r="D169" s="293"/>
      <c r="E169" s="293"/>
      <c r="F169" s="308">
        <f>+F97</f>
        <v>0</v>
      </c>
      <c r="G169" s="291"/>
      <c r="H169" s="291"/>
      <c r="I169" s="308">
        <f>+J97</f>
        <v>7.3145843411793379E-2</v>
      </c>
      <c r="J169" s="291"/>
      <c r="K169" s="291"/>
      <c r="L169" s="308">
        <f>+L97</f>
        <v>7.3145843411793379E-2</v>
      </c>
      <c r="M169" s="291"/>
      <c r="N169" s="285"/>
    </row>
    <row r="170" spans="1:14">
      <c r="A170" s="292" t="s">
        <v>320</v>
      </c>
      <c r="B170" s="293"/>
      <c r="C170" s="293"/>
      <c r="D170" s="293"/>
      <c r="E170" s="293"/>
      <c r="F170" s="308">
        <f>+F98</f>
        <v>0.17949673060569918</v>
      </c>
      <c r="G170" s="291"/>
      <c r="H170" s="291"/>
      <c r="I170" s="308">
        <f>+J98</f>
        <v>0.51057247133974581</v>
      </c>
      <c r="J170" s="291"/>
      <c r="K170" s="291"/>
      <c r="L170" s="308">
        <f>+L98</f>
        <v>0.69006920194544497</v>
      </c>
      <c r="M170" s="291"/>
      <c r="N170" s="285"/>
    </row>
    <row r="171" spans="1:14">
      <c r="A171" s="292" t="s">
        <v>321</v>
      </c>
      <c r="B171" s="293"/>
      <c r="C171" s="293"/>
      <c r="D171" s="293"/>
      <c r="E171" s="293"/>
      <c r="F171" s="308">
        <f>+F99</f>
        <v>6.2021228054814758E-3</v>
      </c>
      <c r="G171" s="291"/>
      <c r="H171" s="291"/>
      <c r="I171" s="308">
        <f>+J99</f>
        <v>1.7381190513693478E-2</v>
      </c>
      <c r="J171" s="291"/>
      <c r="K171" s="291"/>
      <c r="L171" s="308">
        <f>+L99</f>
        <v>2.3583313319174952E-2</v>
      </c>
      <c r="M171" s="291"/>
      <c r="N171" s="285"/>
    </row>
    <row r="172" spans="1:14">
      <c r="A172" s="292" t="s">
        <v>322</v>
      </c>
      <c r="B172" s="293"/>
      <c r="C172" s="293"/>
      <c r="D172" s="293"/>
      <c r="E172" s="293"/>
      <c r="F172" s="308">
        <f>+F100</f>
        <v>0.17949673060569918</v>
      </c>
      <c r="G172" s="291"/>
      <c r="H172" s="291"/>
      <c r="I172" s="308">
        <f>+J100</f>
        <v>0.12239254986725823</v>
      </c>
      <c r="J172" s="291"/>
      <c r="K172" s="291"/>
      <c r="L172" s="308">
        <f>+L100</f>
        <v>0.30188928047295738</v>
      </c>
      <c r="M172" s="291"/>
      <c r="N172" s="285"/>
    </row>
    <row r="173" spans="1:14">
      <c r="A173" s="292" t="s">
        <v>323</v>
      </c>
      <c r="B173" s="293"/>
      <c r="C173" s="293"/>
      <c r="D173" s="293"/>
      <c r="E173" s="293"/>
      <c r="F173" s="308">
        <f>+M139</f>
        <v>6.2322979500011269E-2</v>
      </c>
      <c r="G173" s="291"/>
      <c r="H173" s="291"/>
      <c r="I173" s="308">
        <v>0</v>
      </c>
      <c r="J173" s="308"/>
      <c r="K173" s="308"/>
      <c r="L173" s="308">
        <f>+M138</f>
        <v>6.2322979500011269E-2</v>
      </c>
      <c r="M173" s="291"/>
      <c r="N173" s="285"/>
    </row>
    <row r="174" spans="1:14">
      <c r="A174" s="292" t="s">
        <v>324</v>
      </c>
      <c r="B174" s="293"/>
      <c r="C174" s="293"/>
      <c r="D174" s="293"/>
      <c r="E174" s="293"/>
      <c r="F174" s="308">
        <f>+M149</f>
        <v>1.3120627263160267E-2</v>
      </c>
      <c r="G174" s="291"/>
      <c r="H174" s="291"/>
      <c r="I174" s="308">
        <v>0</v>
      </c>
      <c r="J174" s="308"/>
      <c r="K174" s="308"/>
      <c r="L174" s="308">
        <f>+M148</f>
        <v>1.3120627263160267E-2</v>
      </c>
      <c r="M174" s="291"/>
      <c r="N174" s="285"/>
    </row>
    <row r="175" spans="1:14" ht="13.8" thickBot="1">
      <c r="A175" s="573" t="s">
        <v>318</v>
      </c>
      <c r="B175" s="558"/>
      <c r="C175" s="558"/>
      <c r="D175" s="558"/>
      <c r="E175" s="558"/>
      <c r="F175" s="566">
        <f>SUM(F169:H174)</f>
        <v>0.44063919078005132</v>
      </c>
      <c r="G175" s="567"/>
      <c r="H175" s="567"/>
      <c r="I175" s="566">
        <f>SUM(I169:K174)</f>
        <v>0.72349205513249093</v>
      </c>
      <c r="J175" s="567"/>
      <c r="K175" s="567"/>
      <c r="L175" s="566">
        <f>SUM(L169:N174)</f>
        <v>1.1641312459125424</v>
      </c>
      <c r="M175" s="567"/>
      <c r="N175" s="574"/>
    </row>
    <row r="176" spans="1:14" ht="13.8" thickBot="1">
      <c r="A176" s="571" t="s">
        <v>34</v>
      </c>
      <c r="B176" s="572"/>
      <c r="C176" s="572"/>
      <c r="D176" s="572"/>
      <c r="E176" s="572"/>
      <c r="F176" s="575">
        <f>+F167+F175</f>
        <v>1.1381288930071152</v>
      </c>
      <c r="G176" s="576"/>
      <c r="H176" s="576"/>
      <c r="I176" s="575">
        <f>+I167+I175</f>
        <v>2.2183832694421484</v>
      </c>
      <c r="J176" s="576"/>
      <c r="K176" s="576"/>
      <c r="L176" s="575">
        <f>+L167+L175</f>
        <v>3.3565121624492633</v>
      </c>
      <c r="M176" s="576"/>
      <c r="N176" s="577"/>
    </row>
    <row r="179" spans="2:14" ht="13.8" thickBot="1"/>
    <row r="180" spans="2:14" ht="14.4" thickTop="1" thickBot="1">
      <c r="B180" s="302" t="s">
        <v>325</v>
      </c>
      <c r="C180" s="302"/>
      <c r="D180" s="302"/>
      <c r="E180" s="302"/>
      <c r="F180" s="302"/>
      <c r="G180" s="302"/>
      <c r="H180" s="302"/>
      <c r="I180" s="302"/>
      <c r="J180" s="302"/>
      <c r="K180" s="302"/>
      <c r="L180" s="302"/>
      <c r="M180" s="302"/>
      <c r="N180" s="1"/>
    </row>
    <row r="181" spans="2:14">
      <c r="B181" s="297" t="s">
        <v>15</v>
      </c>
      <c r="C181" s="298"/>
      <c r="D181" s="298"/>
      <c r="E181" s="287" t="s">
        <v>16</v>
      </c>
      <c r="F181" s="287"/>
      <c r="G181" s="287"/>
      <c r="H181" s="287" t="s">
        <v>17</v>
      </c>
      <c r="I181" s="287"/>
      <c r="J181" s="287"/>
      <c r="K181" s="287" t="s">
        <v>18</v>
      </c>
      <c r="L181" s="287"/>
      <c r="M181" s="288"/>
    </row>
    <row r="182" spans="2:14" ht="15.75" customHeight="1">
      <c r="B182" s="299" t="s">
        <v>31</v>
      </c>
      <c r="C182" s="300"/>
      <c r="D182" s="300"/>
      <c r="E182" s="289" t="s">
        <v>326</v>
      </c>
      <c r="F182" s="289"/>
      <c r="G182" s="289"/>
      <c r="H182" s="289" t="s">
        <v>327</v>
      </c>
      <c r="I182" s="289"/>
      <c r="J182" s="289"/>
      <c r="K182" s="313" t="s">
        <v>328</v>
      </c>
      <c r="L182" s="314"/>
      <c r="M182" s="314"/>
    </row>
    <row r="183" spans="2:14">
      <c r="B183" s="301"/>
      <c r="C183" s="300"/>
      <c r="D183" s="300"/>
      <c r="E183" s="289"/>
      <c r="F183" s="289"/>
      <c r="G183" s="289"/>
      <c r="H183" s="289"/>
      <c r="I183" s="289"/>
      <c r="J183" s="289"/>
      <c r="K183" s="315"/>
      <c r="L183" s="316"/>
      <c r="M183" s="316"/>
    </row>
    <row r="184" spans="2:14">
      <c r="B184" s="301"/>
      <c r="C184" s="300"/>
      <c r="D184" s="300"/>
      <c r="E184" s="289"/>
      <c r="F184" s="289"/>
      <c r="G184" s="289"/>
      <c r="H184" s="289"/>
      <c r="I184" s="289"/>
      <c r="J184" s="289"/>
      <c r="K184" s="317"/>
      <c r="L184" s="318"/>
      <c r="M184" s="318"/>
    </row>
    <row r="185" spans="2:14">
      <c r="B185" s="301"/>
      <c r="C185" s="300"/>
      <c r="D185" s="300"/>
      <c r="E185" s="290" t="s">
        <v>329</v>
      </c>
      <c r="F185" s="291"/>
      <c r="G185" s="291"/>
      <c r="H185" s="289"/>
      <c r="I185" s="289"/>
      <c r="J185" s="289"/>
      <c r="K185" s="319" t="s">
        <v>330</v>
      </c>
      <c r="L185" s="320"/>
      <c r="M185" s="320"/>
    </row>
    <row r="186" spans="2:14">
      <c r="B186" s="292" t="s">
        <v>34</v>
      </c>
      <c r="C186" s="293"/>
      <c r="D186" s="293"/>
      <c r="E186" s="311">
        <f>+L176</f>
        <v>3.3565121624492633</v>
      </c>
      <c r="F186" s="311"/>
      <c r="G186" s="311"/>
      <c r="H186" s="294">
        <f>+$J$10</f>
        <v>0.75</v>
      </c>
      <c r="I186" s="294"/>
      <c r="J186" s="294"/>
      <c r="K186" s="322">
        <f>+E186/H186</f>
        <v>4.4753495499323508</v>
      </c>
      <c r="L186" s="322"/>
      <c r="M186" s="323"/>
    </row>
    <row r="187" spans="2:14">
      <c r="B187" s="292" t="s">
        <v>133</v>
      </c>
      <c r="C187" s="293"/>
      <c r="D187" s="293"/>
      <c r="E187" s="311">
        <f>+F176</f>
        <v>1.1381288930071152</v>
      </c>
      <c r="F187" s="311"/>
      <c r="G187" s="311"/>
      <c r="H187" s="294">
        <f>+$J$10</f>
        <v>0.75</v>
      </c>
      <c r="I187" s="294"/>
      <c r="J187" s="294"/>
      <c r="K187" s="322">
        <f>+E187/H187</f>
        <v>1.5175051906761536</v>
      </c>
      <c r="L187" s="322"/>
      <c r="M187" s="323"/>
    </row>
    <row r="188" spans="2:14" ht="13.8" thickBot="1">
      <c r="B188" s="309" t="s">
        <v>134</v>
      </c>
      <c r="C188" s="310"/>
      <c r="D188" s="310"/>
      <c r="E188" s="312">
        <f>+I176</f>
        <v>2.2183832694421484</v>
      </c>
      <c r="F188" s="312"/>
      <c r="G188" s="312"/>
      <c r="H188" s="321">
        <f>+$J$10</f>
        <v>0.75</v>
      </c>
      <c r="I188" s="321"/>
      <c r="J188" s="321"/>
      <c r="K188" s="324">
        <f>+E188/H188</f>
        <v>2.9578443592561978</v>
      </c>
      <c r="L188" s="324"/>
      <c r="M188" s="325"/>
    </row>
  </sheetData>
  <sheetProtection sheet="1" objects="1" scenarios="1"/>
  <mergeCells count="603">
    <mergeCell ref="A5:C5"/>
    <mergeCell ref="E5:G5"/>
    <mergeCell ref="H5:J5"/>
    <mergeCell ref="K5:N5"/>
    <mergeCell ref="A6:C6"/>
    <mergeCell ref="E6:G6"/>
    <mergeCell ref="H6:J6"/>
    <mergeCell ref="K6:N6"/>
    <mergeCell ref="A2:N2"/>
    <mergeCell ref="A3:G3"/>
    <mergeCell ref="H3:N3"/>
    <mergeCell ref="A4:C4"/>
    <mergeCell ref="E4:G4"/>
    <mergeCell ref="H4:J4"/>
    <mergeCell ref="K4:N4"/>
    <mergeCell ref="A9:G9"/>
    <mergeCell ref="H9:I9"/>
    <mergeCell ref="J9:N9"/>
    <mergeCell ref="A10:G10"/>
    <mergeCell ref="H10:I10"/>
    <mergeCell ref="J10:N10"/>
    <mergeCell ref="A7:C7"/>
    <mergeCell ref="E7:G7"/>
    <mergeCell ref="H7:J7"/>
    <mergeCell ref="K7:N7"/>
    <mergeCell ref="A8:G8"/>
    <mergeCell ref="H8:I8"/>
    <mergeCell ref="J8:N8"/>
    <mergeCell ref="A14:G14"/>
    <mergeCell ref="H14:I14"/>
    <mergeCell ref="A16:G16"/>
    <mergeCell ref="H16:I16"/>
    <mergeCell ref="J16:N16"/>
    <mergeCell ref="H11:I11"/>
    <mergeCell ref="J11:N11"/>
    <mergeCell ref="J14:N14"/>
    <mergeCell ref="A13:G13"/>
    <mergeCell ref="H13:I13"/>
    <mergeCell ref="J13:N13"/>
    <mergeCell ref="A12:G12"/>
    <mergeCell ref="H12:I12"/>
    <mergeCell ref="J12:N12"/>
    <mergeCell ref="A11:C11"/>
    <mergeCell ref="A17:G17"/>
    <mergeCell ref="H17:I17"/>
    <mergeCell ref="J17:N17"/>
    <mergeCell ref="A18:G18"/>
    <mergeCell ref="H18:I18"/>
    <mergeCell ref="J18:N18"/>
    <mergeCell ref="A15:G15"/>
    <mergeCell ref="H15:I15"/>
    <mergeCell ref="J15:N15"/>
    <mergeCell ref="A19:G19"/>
    <mergeCell ref="H19:I19"/>
    <mergeCell ref="J19:N19"/>
    <mergeCell ref="J20:N20"/>
    <mergeCell ref="A21:G21"/>
    <mergeCell ref="H21:I21"/>
    <mergeCell ref="J21:N21"/>
    <mergeCell ref="A20:G20"/>
    <mergeCell ref="H20:I20"/>
    <mergeCell ref="A25:G25"/>
    <mergeCell ref="H25:I25"/>
    <mergeCell ref="J25:N25"/>
    <mergeCell ref="A26:G26"/>
    <mergeCell ref="H26:I26"/>
    <mergeCell ref="J26:N26"/>
    <mergeCell ref="A22:G22"/>
    <mergeCell ref="H22:I22"/>
    <mergeCell ref="J22:N22"/>
    <mergeCell ref="H23:I23"/>
    <mergeCell ref="J23:N23"/>
    <mergeCell ref="A24:G24"/>
    <mergeCell ref="H24:I24"/>
    <mergeCell ref="J24:N24"/>
    <mergeCell ref="A23:G23"/>
    <mergeCell ref="A28:G28"/>
    <mergeCell ref="H28:I28"/>
    <mergeCell ref="J28:N28"/>
    <mergeCell ref="A27:G27"/>
    <mergeCell ref="A33:B33"/>
    <mergeCell ref="C33:E33"/>
    <mergeCell ref="F33:G33"/>
    <mergeCell ref="H27:I27"/>
    <mergeCell ref="J27:N27"/>
    <mergeCell ref="J33:L33"/>
    <mergeCell ref="A36:B36"/>
    <mergeCell ref="C36:E36"/>
    <mergeCell ref="F36:G36"/>
    <mergeCell ref="H36:I36"/>
    <mergeCell ref="J36:L36"/>
    <mergeCell ref="M36:N36"/>
    <mergeCell ref="M33:N33"/>
    <mergeCell ref="A32:N32"/>
    <mergeCell ref="A34:B35"/>
    <mergeCell ref="C34:E35"/>
    <mergeCell ref="F34:G35"/>
    <mergeCell ref="H34:I35"/>
    <mergeCell ref="J34:L35"/>
    <mergeCell ref="M34:N35"/>
    <mergeCell ref="H33:I33"/>
    <mergeCell ref="A38:B38"/>
    <mergeCell ref="C38:E38"/>
    <mergeCell ref="F38:G38"/>
    <mergeCell ref="H38:I38"/>
    <mergeCell ref="J38:L38"/>
    <mergeCell ref="M38:N38"/>
    <mergeCell ref="A37:B37"/>
    <mergeCell ref="C37:E37"/>
    <mergeCell ref="F37:G37"/>
    <mergeCell ref="H37:I37"/>
    <mergeCell ref="J37:L37"/>
    <mergeCell ref="M37:N37"/>
    <mergeCell ref="C40:E40"/>
    <mergeCell ref="A42:N42"/>
    <mergeCell ref="A44:B47"/>
    <mergeCell ref="C44:D45"/>
    <mergeCell ref="A43:B43"/>
    <mergeCell ref="C43:D43"/>
    <mergeCell ref="E43:F43"/>
    <mergeCell ref="G43:H43"/>
    <mergeCell ref="I43:J43"/>
    <mergeCell ref="E44:F45"/>
    <mergeCell ref="C46:D46"/>
    <mergeCell ref="G46:H47"/>
    <mergeCell ref="K46:K47"/>
    <mergeCell ref="L46:L47"/>
    <mergeCell ref="N46:N47"/>
    <mergeCell ref="G44:H45"/>
    <mergeCell ref="I44:J47"/>
    <mergeCell ref="K44:K45"/>
    <mergeCell ref="L44:L45"/>
    <mergeCell ref="M44:M47"/>
    <mergeCell ref="N44:N45"/>
    <mergeCell ref="E46:F46"/>
    <mergeCell ref="E47:F47"/>
    <mergeCell ref="A48:B48"/>
    <mergeCell ref="E48:F48"/>
    <mergeCell ref="G48:H48"/>
    <mergeCell ref="I48:J48"/>
    <mergeCell ref="A49:B50"/>
    <mergeCell ref="C49:C50"/>
    <mergeCell ref="D49:D50"/>
    <mergeCell ref="E49:F50"/>
    <mergeCell ref="G49:H50"/>
    <mergeCell ref="I49:J49"/>
    <mergeCell ref="K49:K50"/>
    <mergeCell ref="L49:L50"/>
    <mergeCell ref="M49:M50"/>
    <mergeCell ref="N49:N50"/>
    <mergeCell ref="I50:J50"/>
    <mergeCell ref="A51:B52"/>
    <mergeCell ref="C51:C52"/>
    <mergeCell ref="D51:D52"/>
    <mergeCell ref="E51:F52"/>
    <mergeCell ref="G51:H52"/>
    <mergeCell ref="A56:N56"/>
    <mergeCell ref="A57:C57"/>
    <mergeCell ref="D57:E57"/>
    <mergeCell ref="F57:G57"/>
    <mergeCell ref="H57:I57"/>
    <mergeCell ref="J57:K57"/>
    <mergeCell ref="L57:N57"/>
    <mergeCell ref="I51:J51"/>
    <mergeCell ref="K51:K52"/>
    <mergeCell ref="L51:L52"/>
    <mergeCell ref="M51:M52"/>
    <mergeCell ref="N51:N52"/>
    <mergeCell ref="I52:J52"/>
    <mergeCell ref="H63:I63"/>
    <mergeCell ref="J63:K63"/>
    <mergeCell ref="L63:N63"/>
    <mergeCell ref="H58:I60"/>
    <mergeCell ref="J58:K60"/>
    <mergeCell ref="L58:N60"/>
    <mergeCell ref="D61:E62"/>
    <mergeCell ref="F61:G62"/>
    <mergeCell ref="H61:I62"/>
    <mergeCell ref="J61:K62"/>
    <mergeCell ref="L61:N62"/>
    <mergeCell ref="A58:C62"/>
    <mergeCell ref="D58:E60"/>
    <mergeCell ref="F58:G60"/>
    <mergeCell ref="A64:C64"/>
    <mergeCell ref="D64:E64"/>
    <mergeCell ref="F64:G64"/>
    <mergeCell ref="A63:C63"/>
    <mergeCell ref="D63:E63"/>
    <mergeCell ref="F63:G63"/>
    <mergeCell ref="H64:I64"/>
    <mergeCell ref="J64:K64"/>
    <mergeCell ref="L64:N64"/>
    <mergeCell ref="A65:C65"/>
    <mergeCell ref="D65:E65"/>
    <mergeCell ref="F65:G65"/>
    <mergeCell ref="H65:I65"/>
    <mergeCell ref="J65:K65"/>
    <mergeCell ref="L65:N65"/>
    <mergeCell ref="D68:E68"/>
    <mergeCell ref="H66:I66"/>
    <mergeCell ref="J66:K66"/>
    <mergeCell ref="L66:N66"/>
    <mergeCell ref="A67:C67"/>
    <mergeCell ref="D67:E67"/>
    <mergeCell ref="F67:G67"/>
    <mergeCell ref="J67:K67"/>
    <mergeCell ref="L67:N67"/>
    <mergeCell ref="A66:C66"/>
    <mergeCell ref="D66:E66"/>
    <mergeCell ref="F66:G66"/>
    <mergeCell ref="A69:C69"/>
    <mergeCell ref="D69:E69"/>
    <mergeCell ref="F69:G69"/>
    <mergeCell ref="H69:I69"/>
    <mergeCell ref="F68:G68"/>
    <mergeCell ref="H68:I68"/>
    <mergeCell ref="H67:I67"/>
    <mergeCell ref="A74:N74"/>
    <mergeCell ref="A75:B75"/>
    <mergeCell ref="C75:D75"/>
    <mergeCell ref="E75:F75"/>
    <mergeCell ref="G75:H75"/>
    <mergeCell ref="I75:J75"/>
    <mergeCell ref="J69:K69"/>
    <mergeCell ref="L69:N69"/>
    <mergeCell ref="A70:C70"/>
    <mergeCell ref="D70:E70"/>
    <mergeCell ref="F70:G70"/>
    <mergeCell ref="H70:I70"/>
    <mergeCell ref="J70:K70"/>
    <mergeCell ref="L70:N70"/>
    <mergeCell ref="J68:K68"/>
    <mergeCell ref="L68:N68"/>
    <mergeCell ref="A68:C68"/>
    <mergeCell ref="K76:K77"/>
    <mergeCell ref="E80:F80"/>
    <mergeCell ref="G80:H80"/>
    <mergeCell ref="I80:J80"/>
    <mergeCell ref="N78:N79"/>
    <mergeCell ref="M76:M79"/>
    <mergeCell ref="N76:N77"/>
    <mergeCell ref="L76:L77"/>
    <mergeCell ref="A76:B79"/>
    <mergeCell ref="C78:D78"/>
    <mergeCell ref="G78:H79"/>
    <mergeCell ref="K78:K79"/>
    <mergeCell ref="L78:L79"/>
    <mergeCell ref="C76:D77"/>
    <mergeCell ref="E76:F77"/>
    <mergeCell ref="G76:H77"/>
    <mergeCell ref="I76:J79"/>
    <mergeCell ref="E78:F78"/>
    <mergeCell ref="E79:F79"/>
    <mergeCell ref="K81:K82"/>
    <mergeCell ref="A80:B80"/>
    <mergeCell ref="A81:B82"/>
    <mergeCell ref="C81:C82"/>
    <mergeCell ref="D81:D82"/>
    <mergeCell ref="E81:F82"/>
    <mergeCell ref="M81:M82"/>
    <mergeCell ref="N81:N82"/>
    <mergeCell ref="I83:J83"/>
    <mergeCell ref="I82:J82"/>
    <mergeCell ref="L81:L82"/>
    <mergeCell ref="L83:L84"/>
    <mergeCell ref="M83:M84"/>
    <mergeCell ref="N83:N84"/>
    <mergeCell ref="K83:K84"/>
    <mergeCell ref="G81:H82"/>
    <mergeCell ref="I81:J81"/>
    <mergeCell ref="H95:I95"/>
    <mergeCell ref="J95:K95"/>
    <mergeCell ref="L95:N95"/>
    <mergeCell ref="A83:B84"/>
    <mergeCell ref="C83:C84"/>
    <mergeCell ref="H90:I92"/>
    <mergeCell ref="J90:K92"/>
    <mergeCell ref="L90:N92"/>
    <mergeCell ref="D93:E94"/>
    <mergeCell ref="F93:G94"/>
    <mergeCell ref="H93:I94"/>
    <mergeCell ref="J93:K94"/>
    <mergeCell ref="L93:N94"/>
    <mergeCell ref="A88:N88"/>
    <mergeCell ref="A89:C89"/>
    <mergeCell ref="D89:E89"/>
    <mergeCell ref="F89:G89"/>
    <mergeCell ref="H89:I89"/>
    <mergeCell ref="J89:K89"/>
    <mergeCell ref="L89:N89"/>
    <mergeCell ref="D83:D84"/>
    <mergeCell ref="E83:F84"/>
    <mergeCell ref="G83:H84"/>
    <mergeCell ref="I84:J84"/>
    <mergeCell ref="A90:C94"/>
    <mergeCell ref="D90:E92"/>
    <mergeCell ref="F90:G92"/>
    <mergeCell ref="A96:C96"/>
    <mergeCell ref="D96:E96"/>
    <mergeCell ref="F96:G96"/>
    <mergeCell ref="A95:C95"/>
    <mergeCell ref="D95:E95"/>
    <mergeCell ref="F95:G95"/>
    <mergeCell ref="H96:I96"/>
    <mergeCell ref="J96:K96"/>
    <mergeCell ref="L96:N96"/>
    <mergeCell ref="A97:C97"/>
    <mergeCell ref="D97:E97"/>
    <mergeCell ref="F97:G97"/>
    <mergeCell ref="H97:I97"/>
    <mergeCell ref="J97:K97"/>
    <mergeCell ref="L97:N97"/>
    <mergeCell ref="A99:C99"/>
    <mergeCell ref="D99:E99"/>
    <mergeCell ref="F99:G99"/>
    <mergeCell ref="H99:I99"/>
    <mergeCell ref="J99:K99"/>
    <mergeCell ref="L99:N99"/>
    <mergeCell ref="A98:C98"/>
    <mergeCell ref="D98:E98"/>
    <mergeCell ref="F98:G98"/>
    <mergeCell ref="H98:I98"/>
    <mergeCell ref="J98:K98"/>
    <mergeCell ref="L98:N98"/>
    <mergeCell ref="A104:N104"/>
    <mergeCell ref="A105:C105"/>
    <mergeCell ref="D105:E105"/>
    <mergeCell ref="F105:G105"/>
    <mergeCell ref="H105:I105"/>
    <mergeCell ref="J105:L105"/>
    <mergeCell ref="M105:N105"/>
    <mergeCell ref="A100:C100"/>
    <mergeCell ref="D100:E100"/>
    <mergeCell ref="F100:G100"/>
    <mergeCell ref="H100:I100"/>
    <mergeCell ref="J100:K100"/>
    <mergeCell ref="L100:N100"/>
    <mergeCell ref="A106:C109"/>
    <mergeCell ref="D106:E109"/>
    <mergeCell ref="F106:G107"/>
    <mergeCell ref="H106:I107"/>
    <mergeCell ref="J106:L107"/>
    <mergeCell ref="M106:N107"/>
    <mergeCell ref="F108:G109"/>
    <mergeCell ref="H108:I109"/>
    <mergeCell ref="J108:L108"/>
    <mergeCell ref="M108:N109"/>
    <mergeCell ref="J109:L109"/>
    <mergeCell ref="J112:L112"/>
    <mergeCell ref="A113:C113"/>
    <mergeCell ref="D113:E113"/>
    <mergeCell ref="F113:G113"/>
    <mergeCell ref="H113:I113"/>
    <mergeCell ref="J113:L113"/>
    <mergeCell ref="M110:N116"/>
    <mergeCell ref="A111:C111"/>
    <mergeCell ref="D111:E111"/>
    <mergeCell ref="F111:G111"/>
    <mergeCell ref="H111:I111"/>
    <mergeCell ref="J111:L111"/>
    <mergeCell ref="A112:C112"/>
    <mergeCell ref="D112:E112"/>
    <mergeCell ref="F112:G112"/>
    <mergeCell ref="H112:I112"/>
    <mergeCell ref="A110:C110"/>
    <mergeCell ref="D110:E110"/>
    <mergeCell ref="F110:G110"/>
    <mergeCell ref="H110:I110"/>
    <mergeCell ref="J110:L110"/>
    <mergeCell ref="A114:C114"/>
    <mergeCell ref="D114:E114"/>
    <mergeCell ref="F114:G114"/>
    <mergeCell ref="H114:I114"/>
    <mergeCell ref="J114:L114"/>
    <mergeCell ref="A115:C115"/>
    <mergeCell ref="D115:E115"/>
    <mergeCell ref="F115:G115"/>
    <mergeCell ref="H115:I115"/>
    <mergeCell ref="J115:L115"/>
    <mergeCell ref="M117:N117"/>
    <mergeCell ref="A121:N121"/>
    <mergeCell ref="A122:C122"/>
    <mergeCell ref="D122:E122"/>
    <mergeCell ref="F122:G122"/>
    <mergeCell ref="I122:J122"/>
    <mergeCell ref="K122:L122"/>
    <mergeCell ref="M122:N122"/>
    <mergeCell ref="A116:C116"/>
    <mergeCell ref="D116:E116"/>
    <mergeCell ref="F116:G116"/>
    <mergeCell ref="H116:I116"/>
    <mergeCell ref="J116:L116"/>
    <mergeCell ref="A117:C117"/>
    <mergeCell ref="D117:E117"/>
    <mergeCell ref="F117:G117"/>
    <mergeCell ref="H117:I117"/>
    <mergeCell ref="J117:L117"/>
    <mergeCell ref="M123:N124"/>
    <mergeCell ref="D125:E126"/>
    <mergeCell ref="F125:G126"/>
    <mergeCell ref="H125:H126"/>
    <mergeCell ref="I125:J126"/>
    <mergeCell ref="M125:N126"/>
    <mergeCell ref="A123:C126"/>
    <mergeCell ref="D123:E124"/>
    <mergeCell ref="F123:G124"/>
    <mergeCell ref="H123:H124"/>
    <mergeCell ref="I123:J124"/>
    <mergeCell ref="K123:L126"/>
    <mergeCell ref="A128:C128"/>
    <mergeCell ref="D128:E128"/>
    <mergeCell ref="F128:G128"/>
    <mergeCell ref="I128:J128"/>
    <mergeCell ref="K128:L128"/>
    <mergeCell ref="M128:N128"/>
    <mergeCell ref="A127:C127"/>
    <mergeCell ref="D127:E127"/>
    <mergeCell ref="F127:G127"/>
    <mergeCell ref="I127:J127"/>
    <mergeCell ref="K127:L127"/>
    <mergeCell ref="M127:N127"/>
    <mergeCell ref="A133:N133"/>
    <mergeCell ref="A134:B134"/>
    <mergeCell ref="C134:D134"/>
    <mergeCell ref="E134:F134"/>
    <mergeCell ref="G134:H134"/>
    <mergeCell ref="I134:J134"/>
    <mergeCell ref="M134:N134"/>
    <mergeCell ref="A129:C129"/>
    <mergeCell ref="D129:E129"/>
    <mergeCell ref="F129:G129"/>
    <mergeCell ref="I129:J129"/>
    <mergeCell ref="K129:L129"/>
    <mergeCell ref="M129:N129"/>
    <mergeCell ref="K134:L134"/>
    <mergeCell ref="A138:B138"/>
    <mergeCell ref="C138:D138"/>
    <mergeCell ref="E138:F138"/>
    <mergeCell ref="G138:H138"/>
    <mergeCell ref="I138:J138"/>
    <mergeCell ref="M138:N138"/>
    <mergeCell ref="M135:N135"/>
    <mergeCell ref="C136:D137"/>
    <mergeCell ref="E136:F137"/>
    <mergeCell ref="G136:H137"/>
    <mergeCell ref="I136:J137"/>
    <mergeCell ref="M136:N137"/>
    <mergeCell ref="A135:B137"/>
    <mergeCell ref="C135:D135"/>
    <mergeCell ref="E135:F135"/>
    <mergeCell ref="G135:H135"/>
    <mergeCell ref="I135:J135"/>
    <mergeCell ref="K135:L135"/>
    <mergeCell ref="K136:L137"/>
    <mergeCell ref="K138:L138"/>
    <mergeCell ref="A143:N143"/>
    <mergeCell ref="A144:B144"/>
    <mergeCell ref="C144:D144"/>
    <mergeCell ref="E144:F144"/>
    <mergeCell ref="G144:H144"/>
    <mergeCell ref="I144:J144"/>
    <mergeCell ref="M144:N144"/>
    <mergeCell ref="A139:B139"/>
    <mergeCell ref="C139:D139"/>
    <mergeCell ref="E139:F139"/>
    <mergeCell ref="G139:H139"/>
    <mergeCell ref="I139:J139"/>
    <mergeCell ref="M139:N139"/>
    <mergeCell ref="K139:L139"/>
    <mergeCell ref="K144:L144"/>
    <mergeCell ref="M145:N145"/>
    <mergeCell ref="C146:D147"/>
    <mergeCell ref="E146:F147"/>
    <mergeCell ref="G146:H147"/>
    <mergeCell ref="I146:J147"/>
    <mergeCell ref="M146:N147"/>
    <mergeCell ref="A145:B147"/>
    <mergeCell ref="C145:D145"/>
    <mergeCell ref="E145:F145"/>
    <mergeCell ref="G145:H145"/>
    <mergeCell ref="I145:J145"/>
    <mergeCell ref="K145:L145"/>
    <mergeCell ref="K146:L147"/>
    <mergeCell ref="A149:B149"/>
    <mergeCell ref="C149:D149"/>
    <mergeCell ref="E149:F149"/>
    <mergeCell ref="G149:H149"/>
    <mergeCell ref="I149:J149"/>
    <mergeCell ref="M149:N149"/>
    <mergeCell ref="A148:B148"/>
    <mergeCell ref="C148:D148"/>
    <mergeCell ref="E148:F148"/>
    <mergeCell ref="G148:H148"/>
    <mergeCell ref="I148:J148"/>
    <mergeCell ref="M148:N148"/>
    <mergeCell ref="K148:L148"/>
    <mergeCell ref="K149:L149"/>
    <mergeCell ref="I156:K156"/>
    <mergeCell ref="L156:N156"/>
    <mergeCell ref="F157:H157"/>
    <mergeCell ref="I157:K158"/>
    <mergeCell ref="L157:N157"/>
    <mergeCell ref="F158:H158"/>
    <mergeCell ref="L158:N158"/>
    <mergeCell ref="A153:N153"/>
    <mergeCell ref="A154:E154"/>
    <mergeCell ref="F154:H154"/>
    <mergeCell ref="I154:K154"/>
    <mergeCell ref="L154:N154"/>
    <mergeCell ref="A155:E158"/>
    <mergeCell ref="F155:H155"/>
    <mergeCell ref="I155:K155"/>
    <mergeCell ref="L155:N155"/>
    <mergeCell ref="F156:H156"/>
    <mergeCell ref="A162:E162"/>
    <mergeCell ref="F162:H162"/>
    <mergeCell ref="I162:K162"/>
    <mergeCell ref="L162:N162"/>
    <mergeCell ref="A163:E163"/>
    <mergeCell ref="F163:H163"/>
    <mergeCell ref="I163:K163"/>
    <mergeCell ref="L163:N163"/>
    <mergeCell ref="A159:N159"/>
    <mergeCell ref="A160:E160"/>
    <mergeCell ref="F160:H160"/>
    <mergeCell ref="I160:K160"/>
    <mergeCell ref="L160:N160"/>
    <mergeCell ref="A161:E161"/>
    <mergeCell ref="F161:H161"/>
    <mergeCell ref="I161:K161"/>
    <mergeCell ref="L161:N161"/>
    <mergeCell ref="A166:E166"/>
    <mergeCell ref="F166:H166"/>
    <mergeCell ref="I166:K166"/>
    <mergeCell ref="L166:N166"/>
    <mergeCell ref="A167:E167"/>
    <mergeCell ref="F167:H167"/>
    <mergeCell ref="I167:K167"/>
    <mergeCell ref="L167:N167"/>
    <mergeCell ref="A164:E164"/>
    <mergeCell ref="F164:H164"/>
    <mergeCell ref="I164:K164"/>
    <mergeCell ref="L164:N164"/>
    <mergeCell ref="A165:E165"/>
    <mergeCell ref="F165:H165"/>
    <mergeCell ref="I165:K165"/>
    <mergeCell ref="L165:N165"/>
    <mergeCell ref="A171:E171"/>
    <mergeCell ref="F171:H171"/>
    <mergeCell ref="I171:K171"/>
    <mergeCell ref="L171:N171"/>
    <mergeCell ref="A172:E172"/>
    <mergeCell ref="F172:H172"/>
    <mergeCell ref="I172:K172"/>
    <mergeCell ref="L172:N172"/>
    <mergeCell ref="A168:N168"/>
    <mergeCell ref="A169:E169"/>
    <mergeCell ref="F169:H169"/>
    <mergeCell ref="I169:K169"/>
    <mergeCell ref="L169:N169"/>
    <mergeCell ref="A170:E170"/>
    <mergeCell ref="F170:H170"/>
    <mergeCell ref="I170:K170"/>
    <mergeCell ref="L170:N170"/>
    <mergeCell ref="B181:D181"/>
    <mergeCell ref="E181:G181"/>
    <mergeCell ref="H181:J181"/>
    <mergeCell ref="K181:M181"/>
    <mergeCell ref="A173:E173"/>
    <mergeCell ref="F173:H173"/>
    <mergeCell ref="I173:K173"/>
    <mergeCell ref="L173:N173"/>
    <mergeCell ref="A174:E174"/>
    <mergeCell ref="F174:H174"/>
    <mergeCell ref="I174:K174"/>
    <mergeCell ref="L174:N174"/>
    <mergeCell ref="A175:E175"/>
    <mergeCell ref="F175:H175"/>
    <mergeCell ref="I175:K175"/>
    <mergeCell ref="L175:N175"/>
    <mergeCell ref="A176:E176"/>
    <mergeCell ref="F176:H176"/>
    <mergeCell ref="I176:K176"/>
    <mergeCell ref="L176:N176"/>
    <mergeCell ref="B180:M180"/>
    <mergeCell ref="B188:D188"/>
    <mergeCell ref="E188:G188"/>
    <mergeCell ref="H188:J188"/>
    <mergeCell ref="K188:M188"/>
    <mergeCell ref="K185:M185"/>
    <mergeCell ref="B186:D186"/>
    <mergeCell ref="E186:G186"/>
    <mergeCell ref="H186:J186"/>
    <mergeCell ref="K186:M186"/>
    <mergeCell ref="B187:D187"/>
    <mergeCell ref="E187:G187"/>
    <mergeCell ref="H187:J187"/>
    <mergeCell ref="K187:M187"/>
    <mergeCell ref="B182:D185"/>
    <mergeCell ref="E182:G184"/>
    <mergeCell ref="H182:J185"/>
    <mergeCell ref="K182:M184"/>
    <mergeCell ref="E185:G185"/>
  </mergeCells>
  <conditionalFormatting sqref="A15:N15">
    <cfRule type="expression" dxfId="80" priority="8">
      <formula>OR($J$9="2U",$J$9="4U")</formula>
    </cfRule>
    <cfRule type="expression" dxfId="79" priority="9">
      <formula>OR($J$9="3T",$J$9="4D",$J$9="5T")</formula>
    </cfRule>
  </conditionalFormatting>
  <conditionalFormatting sqref="J11:N11">
    <cfRule type="cellIs" dxfId="78" priority="10" stopIfTrue="1" operator="greaterThan">
      <formula>$F$11</formula>
    </cfRule>
  </conditionalFormatting>
  <conditionalFormatting sqref="J14:N14">
    <cfRule type="expression" dxfId="77" priority="3">
      <formula>J13&lt;&gt;"None"</formula>
    </cfRule>
    <cfRule type="expression" dxfId="76" priority="4">
      <formula>J13="None"</formula>
    </cfRule>
  </conditionalFormatting>
  <conditionalFormatting sqref="J15:N15">
    <cfRule type="expression" dxfId="75" priority="6">
      <formula>OR($J$9="2U",$J$9="4U")</formula>
    </cfRule>
    <cfRule type="expression" dxfId="74" priority="7">
      <formula>OR($J$9="3T",$J$9="4D",$J$9="5T")</formula>
    </cfRule>
  </conditionalFormatting>
  <conditionalFormatting sqref="J27:N27">
    <cfRule type="expression" dxfId="73" priority="1">
      <formula>J26&lt;&gt;0</formula>
    </cfRule>
    <cfRule type="expression" dxfId="72" priority="2">
      <formula>J26=0</formula>
    </cfRule>
  </conditionalFormatting>
  <conditionalFormatting sqref="O11">
    <cfRule type="expression" dxfId="71" priority="5">
      <formula>J11&gt;F11</formula>
    </cfRule>
  </conditionalFormatting>
  <dataValidations count="14">
    <dataValidation type="whole" allowBlank="1" showInputMessage="1" showErrorMessage="1" sqref="J27:N27" xr:uid="{00000000-0002-0000-0200-000000000000}">
      <formula1>2</formula1>
      <formula2>30</formula2>
    </dataValidation>
    <dataValidation type="list" allowBlank="1" showInputMessage="1" showErrorMessage="1" sqref="J25:N25" xr:uid="{00000000-0002-0000-0200-000001000000}">
      <formula1>Posted</formula1>
    </dataValidation>
    <dataValidation type="whole" operator="greaterThanOrEqual" allowBlank="1" showInputMessage="1" showErrorMessage="1" sqref="J18:N24 J11:N11" xr:uid="{00000000-0002-0000-0200-000002000000}">
      <formula1>0</formula1>
    </dataValidation>
    <dataValidation type="decimal" operator="greaterThanOrEqual" allowBlank="1" showInputMessage="1" showErrorMessage="1" sqref="J26:N26 P26:P27" xr:uid="{00000000-0002-0000-0200-000003000000}">
      <formula1>0</formula1>
    </dataValidation>
    <dataValidation type="list" allowBlank="1" showInputMessage="1" showErrorMessage="1" sqref="J13:N13" xr:uid="{00000000-0002-0000-0200-000005000000}">
      <formula1>OnStreetType</formula1>
    </dataValidation>
    <dataValidation type="list" allowBlank="1" showInputMessage="1" showErrorMessage="1" sqref="J16:N17" xr:uid="{00000000-0002-0000-0200-000006000000}">
      <formula1>PresOrNot</formula1>
    </dataValidation>
    <dataValidation type="whole" operator="greaterThan" allowBlank="1" showInputMessage="1" showErrorMessage="1" sqref="K7:P7" xr:uid="{00000000-0002-0000-0200-000007000000}">
      <formula1>1990</formula1>
    </dataValidation>
    <dataValidation type="whole" allowBlank="1" showInputMessage="1" showErrorMessage="1" sqref="P11:P17" xr:uid="{00000000-0002-0000-0200-000008000000}">
      <formula1>0</formula1>
      <formula2>66000</formula2>
    </dataValidation>
    <dataValidation type="decimal" operator="lessThanOrEqual" allowBlank="1" showInputMessage="1" showErrorMessage="1" sqref="J14:N14" xr:uid="{00000000-0002-0000-0200-000009000000}">
      <formula1>1</formula1>
    </dataValidation>
    <dataValidation type="decimal" operator="greaterThan" allowBlank="1" showInputMessage="1" showErrorMessage="1" sqref="J10:N10 P10" xr:uid="{00000000-0002-0000-0200-00000A000000}">
      <formula1>0</formula1>
    </dataValidation>
    <dataValidation type="list" operator="greaterThan" allowBlank="1" showInputMessage="1" showErrorMessage="1" sqref="J9:N9" xr:uid="{00000000-0002-0000-0200-00000B000000}">
      <formula1>RType</formula1>
    </dataValidation>
    <dataValidation type="list" allowBlank="1" showInputMessage="1" showErrorMessage="1" sqref="J15:N15" xr:uid="{00000000-0002-0000-0200-00000C000000}">
      <formula1>UMedWidth</formula1>
    </dataValidation>
    <dataValidation type="decimal" allowBlank="1" showInputMessage="1" showErrorMessage="1" sqref="P28 J28:N28" xr:uid="{00000000-0002-0000-0200-00000D000000}">
      <formula1>0</formula1>
      <formula2>10</formula2>
    </dataValidation>
    <dataValidation type="list" allowBlank="1" showInputMessage="1" showErrorMessage="1" sqref="J12:N12" xr:uid="{00000000-0002-0000-0200-00000E000000}">
      <formula1>District</formula1>
    </dataValidation>
  </dataValidations>
  <hyperlinks>
    <hyperlink ref="D11" r:id="rId1" xr:uid="{FBE793A5-3B93-4D02-9AC3-B389E0A60485}"/>
  </hyperlinks>
  <pageMargins left="0.7" right="0.7" top="0.75" bottom="0.75" header="0.3" footer="0.3"/>
  <pageSetup scale="76" fitToHeight="4" orientation="landscape" r:id="rId2"/>
  <headerFooter>
    <oddHeader>&amp;CUrban and Suburban Predictive Method</oddHeader>
    <oddFooter>&amp;R&amp;P</oddFooter>
  </headerFooter>
  <rowBreaks count="2" manualBreakCount="2">
    <brk id="102" max="13" man="1"/>
    <brk id="151" max="1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153"/>
  <sheetViews>
    <sheetView workbookViewId="0"/>
  </sheetViews>
  <sheetFormatPr defaultRowHeight="13.2"/>
  <cols>
    <col min="2" max="10" width="14.6640625" customWidth="1"/>
    <col min="11" max="18" width="16.6640625" customWidth="1"/>
    <col min="19" max="19" width="10.6640625" customWidth="1"/>
    <col min="20" max="32" width="12.6640625" customWidth="1"/>
    <col min="33" max="33" width="10.6640625" customWidth="1"/>
    <col min="34" max="39" width="12.6640625" customWidth="1"/>
    <col min="40" max="44" width="10.6640625" customWidth="1"/>
  </cols>
  <sheetData>
    <row r="1" spans="2:38" ht="13.8" thickBot="1">
      <c r="B1" s="80" t="s">
        <v>444</v>
      </c>
      <c r="T1" s="80" t="s">
        <v>460</v>
      </c>
    </row>
    <row r="2" spans="2:38" ht="13.8" customHeight="1" thickTop="1">
      <c r="B2" s="585" t="s">
        <v>572</v>
      </c>
      <c r="C2" s="585"/>
      <c r="D2" s="585"/>
      <c r="E2" s="585"/>
      <c r="F2" s="585"/>
      <c r="G2" s="585"/>
      <c r="H2" s="585"/>
      <c r="I2" s="585"/>
      <c r="K2" s="585" t="s">
        <v>575</v>
      </c>
      <c r="L2" s="585"/>
      <c r="M2" s="585"/>
      <c r="N2" s="585"/>
      <c r="O2" s="585"/>
      <c r="P2" s="585"/>
      <c r="Q2" s="585"/>
      <c r="R2" s="585"/>
      <c r="T2" s="585" t="s">
        <v>587</v>
      </c>
      <c r="U2" s="668"/>
      <c r="V2" s="668"/>
      <c r="W2" s="668"/>
      <c r="X2" s="668"/>
      <c r="Y2" s="32"/>
      <c r="Z2" s="692" t="s">
        <v>588</v>
      </c>
      <c r="AA2" s="692"/>
      <c r="AB2" s="692"/>
      <c r="AC2" s="692"/>
    </row>
    <row r="3" spans="2:38" ht="13.8" thickBot="1">
      <c r="B3" s="586"/>
      <c r="C3" s="586"/>
      <c r="D3" s="586"/>
      <c r="E3" s="586"/>
      <c r="F3" s="586"/>
      <c r="G3" s="586"/>
      <c r="H3" s="586"/>
      <c r="I3" s="586"/>
      <c r="K3" s="586"/>
      <c r="L3" s="586"/>
      <c r="M3" s="586"/>
      <c r="N3" s="586"/>
      <c r="O3" s="586"/>
      <c r="P3" s="586"/>
      <c r="Q3" s="586"/>
      <c r="R3" s="586"/>
      <c r="T3" s="669"/>
      <c r="U3" s="669"/>
      <c r="V3" s="669"/>
      <c r="W3" s="669"/>
      <c r="X3" s="669"/>
      <c r="Y3" s="32"/>
      <c r="Z3" s="593"/>
      <c r="AA3" s="593"/>
      <c r="AB3" s="593"/>
      <c r="AC3" s="593"/>
    </row>
    <row r="4" spans="2:38" ht="13.2" customHeight="1" thickBot="1">
      <c r="B4" s="629" t="s">
        <v>69</v>
      </c>
      <c r="C4" s="629"/>
      <c r="D4" s="244" t="s">
        <v>67</v>
      </c>
      <c r="E4" s="630"/>
      <c r="F4" s="586"/>
      <c r="G4" s="586"/>
      <c r="H4" s="586"/>
      <c r="I4" s="586"/>
      <c r="K4" s="629" t="s">
        <v>69</v>
      </c>
      <c r="L4" s="629"/>
      <c r="M4" s="244" t="s">
        <v>67</v>
      </c>
      <c r="N4" s="630"/>
      <c r="O4" s="586"/>
      <c r="P4" s="586"/>
      <c r="Q4" s="586"/>
      <c r="R4" s="586"/>
      <c r="T4" s="640" t="s">
        <v>194</v>
      </c>
      <c r="U4" s="638" t="s">
        <v>189</v>
      </c>
      <c r="V4" s="639"/>
      <c r="W4" s="639"/>
      <c r="X4" s="639"/>
      <c r="Y4" s="32"/>
      <c r="Z4" s="592" t="s">
        <v>204</v>
      </c>
      <c r="AA4" s="708"/>
      <c r="AB4" s="708" t="s">
        <v>206</v>
      </c>
      <c r="AC4" s="687"/>
    </row>
    <row r="5" spans="2:38" ht="13.2" customHeight="1" thickBot="1">
      <c r="B5" s="636" t="s">
        <v>235</v>
      </c>
      <c r="C5" s="570" t="s">
        <v>47</v>
      </c>
      <c r="D5" s="590"/>
      <c r="E5" s="654"/>
      <c r="F5" s="633" t="s">
        <v>235</v>
      </c>
      <c r="G5" s="570" t="s">
        <v>48</v>
      </c>
      <c r="H5" s="590"/>
      <c r="I5" s="590"/>
      <c r="K5" s="636" t="s">
        <v>235</v>
      </c>
      <c r="L5" s="570" t="s">
        <v>47</v>
      </c>
      <c r="M5" s="590"/>
      <c r="N5" s="654"/>
      <c r="O5" s="633" t="s">
        <v>235</v>
      </c>
      <c r="P5" s="570" t="s">
        <v>48</v>
      </c>
      <c r="Q5" s="590"/>
      <c r="R5" s="590"/>
      <c r="T5" s="641"/>
      <c r="U5" s="354" t="s">
        <v>190</v>
      </c>
      <c r="V5" s="653"/>
      <c r="W5" s="354" t="s">
        <v>193</v>
      </c>
      <c r="X5" s="652"/>
      <c r="Y5" s="44"/>
      <c r="Z5" s="594" t="s">
        <v>205</v>
      </c>
      <c r="AA5" s="720"/>
      <c r="AB5" s="720" t="s">
        <v>207</v>
      </c>
      <c r="AC5" s="721"/>
    </row>
    <row r="6" spans="2:38" ht="13.2" customHeight="1">
      <c r="B6" s="636"/>
      <c r="C6" s="107" t="s">
        <v>236</v>
      </c>
      <c r="D6" s="106" t="s">
        <v>237</v>
      </c>
      <c r="E6" s="156" t="s">
        <v>653</v>
      </c>
      <c r="F6" s="633"/>
      <c r="G6" s="107" t="s">
        <v>236</v>
      </c>
      <c r="H6" s="106" t="s">
        <v>237</v>
      </c>
      <c r="I6" s="153" t="s">
        <v>653</v>
      </c>
      <c r="K6" s="636"/>
      <c r="L6" s="107" t="s">
        <v>236</v>
      </c>
      <c r="M6" s="106" t="s">
        <v>237</v>
      </c>
      <c r="N6" s="156" t="s">
        <v>653</v>
      </c>
      <c r="O6" s="633"/>
      <c r="P6" s="107" t="s">
        <v>236</v>
      </c>
      <c r="Q6" s="106" t="s">
        <v>237</v>
      </c>
      <c r="R6" s="153" t="s">
        <v>653</v>
      </c>
      <c r="T6" s="641"/>
      <c r="U6" s="646" t="s">
        <v>191</v>
      </c>
      <c r="V6" s="649" t="s">
        <v>192</v>
      </c>
      <c r="W6" s="646" t="s">
        <v>191</v>
      </c>
      <c r="X6" s="643" t="s">
        <v>192</v>
      </c>
      <c r="Y6" s="44"/>
      <c r="Z6" s="718">
        <v>2</v>
      </c>
      <c r="AA6" s="686"/>
      <c r="AB6" s="686">
        <v>0.23200000000000001</v>
      </c>
      <c r="AC6" s="687"/>
    </row>
    <row r="7" spans="2:38" ht="13.2" customHeight="1">
      <c r="B7" s="637"/>
      <c r="C7" s="108" t="s">
        <v>87</v>
      </c>
      <c r="D7" s="81" t="s">
        <v>88</v>
      </c>
      <c r="E7" s="150" t="s">
        <v>652</v>
      </c>
      <c r="F7" s="634"/>
      <c r="G7" s="108" t="s">
        <v>87</v>
      </c>
      <c r="H7" s="81" t="s">
        <v>88</v>
      </c>
      <c r="I7" s="150" t="s">
        <v>652</v>
      </c>
      <c r="K7" s="637"/>
      <c r="L7" s="108" t="s">
        <v>87</v>
      </c>
      <c r="M7" s="81" t="s">
        <v>88</v>
      </c>
      <c r="N7" s="150" t="s">
        <v>652</v>
      </c>
      <c r="O7" s="634"/>
      <c r="P7" s="108" t="s">
        <v>87</v>
      </c>
      <c r="Q7" s="81" t="s">
        <v>88</v>
      </c>
      <c r="R7" s="150" t="s">
        <v>652</v>
      </c>
      <c r="T7" s="641"/>
      <c r="U7" s="647"/>
      <c r="V7" s="650"/>
      <c r="W7" s="647"/>
      <c r="X7" s="644"/>
      <c r="Y7" s="29"/>
      <c r="Z7" s="684">
        <v>5</v>
      </c>
      <c r="AA7" s="685"/>
      <c r="AB7" s="685">
        <v>0.13300000000000001</v>
      </c>
      <c r="AC7" s="688"/>
    </row>
    <row r="8" spans="2:38">
      <c r="B8" s="631" t="s">
        <v>238</v>
      </c>
      <c r="C8" s="337"/>
      <c r="D8" s="337"/>
      <c r="E8" s="337"/>
      <c r="F8" s="635" t="s">
        <v>238</v>
      </c>
      <c r="G8" s="337"/>
      <c r="H8" s="337"/>
      <c r="I8" s="337"/>
      <c r="K8" s="631" t="s">
        <v>238</v>
      </c>
      <c r="L8" s="631"/>
      <c r="M8" s="631"/>
      <c r="N8" s="632"/>
      <c r="O8" s="635" t="s">
        <v>238</v>
      </c>
      <c r="P8" s="337"/>
      <c r="Q8" s="337"/>
      <c r="R8" s="337"/>
      <c r="T8" s="642"/>
      <c r="U8" s="648"/>
      <c r="V8" s="651"/>
      <c r="W8" s="648"/>
      <c r="X8" s="645"/>
      <c r="Y8" s="27"/>
      <c r="Z8" s="684">
        <v>10</v>
      </c>
      <c r="AA8" s="685"/>
      <c r="AB8" s="685">
        <v>8.6999999999999994E-2</v>
      </c>
      <c r="AC8" s="688"/>
    </row>
    <row r="9" spans="2:38">
      <c r="B9" s="89" t="s">
        <v>181</v>
      </c>
      <c r="C9" s="11">
        <v>-15.22</v>
      </c>
      <c r="D9" s="11">
        <v>1.68</v>
      </c>
      <c r="E9" s="12">
        <v>0.84</v>
      </c>
      <c r="F9" s="154" t="s">
        <v>181</v>
      </c>
      <c r="G9" s="249">
        <v>-12.281000000000001</v>
      </c>
      <c r="H9" s="249">
        <v>1.335</v>
      </c>
      <c r="I9" s="250">
        <v>0.81</v>
      </c>
      <c r="K9" s="89" t="s">
        <v>181</v>
      </c>
      <c r="L9" s="11">
        <v>-5.47</v>
      </c>
      <c r="M9" s="11">
        <v>0.56000000000000005</v>
      </c>
      <c r="N9" s="12">
        <v>0.81</v>
      </c>
      <c r="O9" s="154" t="s">
        <v>181</v>
      </c>
      <c r="P9" s="249">
        <v>-6.0069999999999997</v>
      </c>
      <c r="Q9" s="249">
        <v>0.62</v>
      </c>
      <c r="R9" s="250">
        <v>0.56299999999999994</v>
      </c>
      <c r="T9" s="89" t="s">
        <v>181</v>
      </c>
      <c r="U9" s="3">
        <v>1.4650000000000001</v>
      </c>
      <c r="V9" s="3">
        <v>2.0739999999999998</v>
      </c>
      <c r="W9" s="3">
        <v>3.4279999999999999</v>
      </c>
      <c r="X9" s="41">
        <v>4.8529999999999998</v>
      </c>
      <c r="Y9" s="53"/>
      <c r="Z9" s="684">
        <v>15</v>
      </c>
      <c r="AA9" s="685"/>
      <c r="AB9" s="685">
        <v>6.8000000000000005E-2</v>
      </c>
      <c r="AC9" s="688"/>
    </row>
    <row r="10" spans="2:38">
      <c r="B10" s="89" t="s">
        <v>180</v>
      </c>
      <c r="C10" s="11">
        <v>-12.4</v>
      </c>
      <c r="D10" s="11">
        <v>1.41</v>
      </c>
      <c r="E10" s="12">
        <v>0.66</v>
      </c>
      <c r="F10" s="154" t="s">
        <v>180</v>
      </c>
      <c r="G10" s="249">
        <v>-12.891</v>
      </c>
      <c r="H10" s="249">
        <v>1.41</v>
      </c>
      <c r="I10" s="250">
        <v>0.86399999999999999</v>
      </c>
      <c r="K10" s="89" t="s">
        <v>180</v>
      </c>
      <c r="L10" s="11">
        <v>-5.74</v>
      </c>
      <c r="M10" s="11">
        <v>0.54</v>
      </c>
      <c r="N10" s="12">
        <v>1.37</v>
      </c>
      <c r="O10" s="154" t="s">
        <v>180</v>
      </c>
      <c r="P10" s="249">
        <v>-5.351</v>
      </c>
      <c r="Q10" s="249">
        <v>0.54</v>
      </c>
      <c r="R10" s="250">
        <v>0.438</v>
      </c>
      <c r="T10" s="89" t="s">
        <v>180</v>
      </c>
      <c r="U10" s="3">
        <v>1.4650000000000001</v>
      </c>
      <c r="V10" s="3">
        <v>2.0739999999999998</v>
      </c>
      <c r="W10" s="3">
        <v>3.4279999999999999</v>
      </c>
      <c r="X10" s="41">
        <v>4.8529999999999998</v>
      </c>
      <c r="Y10" s="24"/>
      <c r="Z10" s="684">
        <v>20</v>
      </c>
      <c r="AA10" s="685"/>
      <c r="AB10" s="685">
        <v>5.7000000000000002E-2</v>
      </c>
      <c r="AC10" s="688"/>
    </row>
    <row r="11" spans="2:38">
      <c r="B11" s="89" t="s">
        <v>101</v>
      </c>
      <c r="C11" s="11">
        <v>-11.63</v>
      </c>
      <c r="D11" s="11">
        <v>1.33</v>
      </c>
      <c r="E11" s="12">
        <v>1.01</v>
      </c>
      <c r="F11" s="154" t="s">
        <v>101</v>
      </c>
      <c r="G11" s="249">
        <v>-14.795</v>
      </c>
      <c r="H11" s="249">
        <v>1.6679999999999999</v>
      </c>
      <c r="I11" s="250">
        <v>0.86699999999999999</v>
      </c>
      <c r="K11" s="89" t="s">
        <v>101</v>
      </c>
      <c r="L11" s="11">
        <v>-7.99</v>
      </c>
      <c r="M11" s="11">
        <v>0.81</v>
      </c>
      <c r="N11" s="12">
        <v>0.91</v>
      </c>
      <c r="O11" s="154" t="s">
        <v>101</v>
      </c>
      <c r="P11" s="249">
        <v>-5.3579999999999997</v>
      </c>
      <c r="Q11" s="249">
        <v>0.57999999999999996</v>
      </c>
      <c r="R11" s="250">
        <v>0.35899999999999999</v>
      </c>
      <c r="T11" s="89" t="s">
        <v>101</v>
      </c>
      <c r="U11" s="3">
        <v>1.1000000000000001</v>
      </c>
      <c r="V11" s="3">
        <v>1.7090000000000001</v>
      </c>
      <c r="W11" s="3">
        <v>2.5739999999999998</v>
      </c>
      <c r="X11" s="41">
        <v>3.9990000000000001</v>
      </c>
      <c r="Y11" s="24"/>
      <c r="Z11" s="684">
        <v>25</v>
      </c>
      <c r="AA11" s="685"/>
      <c r="AB11" s="685">
        <v>4.9000000000000002E-2</v>
      </c>
      <c r="AC11" s="688"/>
    </row>
    <row r="12" spans="2:38" ht="14.4" thickBot="1">
      <c r="B12" s="109" t="s">
        <v>104</v>
      </c>
      <c r="C12" s="11">
        <v>-12.34</v>
      </c>
      <c r="D12" s="11">
        <v>1.36</v>
      </c>
      <c r="E12" s="12">
        <v>1.32</v>
      </c>
      <c r="F12" s="155" t="s">
        <v>104</v>
      </c>
      <c r="G12" s="249">
        <v>-11.523999999999999</v>
      </c>
      <c r="H12" s="249">
        <v>1.2490000000000001</v>
      </c>
      <c r="I12" s="250">
        <v>0.96699999999999997</v>
      </c>
      <c r="K12" s="109" t="s">
        <v>104</v>
      </c>
      <c r="L12" s="11">
        <v>-5.05</v>
      </c>
      <c r="M12" s="11">
        <v>0.47</v>
      </c>
      <c r="N12" s="12">
        <v>0.86</v>
      </c>
      <c r="O12" s="155" t="s">
        <v>104</v>
      </c>
      <c r="P12" s="249">
        <v>-3.9049999999999998</v>
      </c>
      <c r="Q12" s="249">
        <v>0.436</v>
      </c>
      <c r="R12" s="250">
        <v>0.56699999999999995</v>
      </c>
      <c r="T12" s="89" t="s">
        <v>104</v>
      </c>
      <c r="U12" s="3">
        <v>1.1000000000000001</v>
      </c>
      <c r="V12" s="3">
        <v>1.7090000000000001</v>
      </c>
      <c r="W12" s="3">
        <v>2.5739999999999998</v>
      </c>
      <c r="X12" s="41">
        <v>3.9990000000000001</v>
      </c>
      <c r="Y12" s="24"/>
      <c r="Z12" s="713" t="s">
        <v>210</v>
      </c>
      <c r="AA12" s="700"/>
      <c r="AB12" s="700">
        <v>4.3999999999999997E-2</v>
      </c>
      <c r="AC12" s="701"/>
    </row>
    <row r="13" spans="2:38" ht="13.8" thickBot="1">
      <c r="B13" s="89" t="s">
        <v>195</v>
      </c>
      <c r="C13" s="11">
        <v>-9.6999999999999993</v>
      </c>
      <c r="D13" s="11">
        <v>1.17</v>
      </c>
      <c r="E13" s="12">
        <v>0.81</v>
      </c>
      <c r="F13" s="154" t="s">
        <v>195</v>
      </c>
      <c r="G13" s="249">
        <v>-8.1890000000000001</v>
      </c>
      <c r="H13" s="249">
        <v>0.97099999999999997</v>
      </c>
      <c r="I13" s="250">
        <v>1.1479999999999999</v>
      </c>
      <c r="K13" s="89" t="s">
        <v>195</v>
      </c>
      <c r="L13" s="11">
        <v>-4.82</v>
      </c>
      <c r="M13" s="11">
        <v>0.54</v>
      </c>
      <c r="N13" s="12">
        <v>0.52</v>
      </c>
      <c r="O13" s="154" t="s">
        <v>195</v>
      </c>
      <c r="P13" s="249">
        <v>-4.5830000000000002</v>
      </c>
      <c r="Q13" s="249">
        <v>0.501</v>
      </c>
      <c r="R13" s="250">
        <v>0.66400000000000003</v>
      </c>
      <c r="T13" s="92" t="s">
        <v>195</v>
      </c>
      <c r="U13" s="37">
        <v>1.1000000000000001</v>
      </c>
      <c r="V13" s="37">
        <v>1.7090000000000001</v>
      </c>
      <c r="W13" s="37">
        <v>2.5739999999999998</v>
      </c>
      <c r="X13" s="85">
        <v>3.9990000000000001</v>
      </c>
      <c r="Y13" s="24"/>
      <c r="Z13" s="714" t="s">
        <v>348</v>
      </c>
      <c r="AA13" s="715"/>
      <c r="AB13" s="715"/>
      <c r="AC13" s="715"/>
    </row>
    <row r="14" spans="2:38" ht="13.8" thickBot="1">
      <c r="B14" s="617" t="s">
        <v>239</v>
      </c>
      <c r="C14" s="291"/>
      <c r="D14" s="291"/>
      <c r="E14" s="285"/>
      <c r="F14" s="157"/>
      <c r="G14" s="158"/>
      <c r="H14" s="158"/>
      <c r="I14" s="158"/>
      <c r="K14" s="631" t="s">
        <v>239</v>
      </c>
      <c r="L14" s="631"/>
      <c r="M14" s="631"/>
      <c r="N14" s="632"/>
      <c r="O14" s="157"/>
      <c r="P14" s="158"/>
      <c r="Q14" s="158"/>
      <c r="R14" s="158"/>
      <c r="Y14" s="24"/>
      <c r="Z14" s="432"/>
      <c r="AA14" s="432"/>
      <c r="AB14" s="432"/>
      <c r="AC14" s="432"/>
    </row>
    <row r="15" spans="2:38" ht="13.8" thickTop="1">
      <c r="B15" s="89" t="s">
        <v>181</v>
      </c>
      <c r="C15" s="11">
        <v>-16.22</v>
      </c>
      <c r="D15" s="11">
        <v>1.66</v>
      </c>
      <c r="E15" s="12">
        <v>0.65</v>
      </c>
      <c r="F15" s="159"/>
      <c r="G15" s="20"/>
      <c r="H15" s="20"/>
      <c r="I15" s="20"/>
      <c r="K15" s="89" t="s">
        <v>181</v>
      </c>
      <c r="L15" s="11">
        <v>-3.96</v>
      </c>
      <c r="M15" s="11">
        <v>0.23</v>
      </c>
      <c r="N15" s="12">
        <v>0.5</v>
      </c>
      <c r="O15" s="159"/>
      <c r="P15" s="20"/>
      <c r="Q15" s="20"/>
      <c r="R15" s="20"/>
      <c r="T15" s="585" t="s">
        <v>590</v>
      </c>
      <c r="U15" s="668"/>
      <c r="V15" s="668"/>
      <c r="W15" s="17"/>
      <c r="X15" s="17"/>
      <c r="Y15" s="24"/>
      <c r="Z15" s="702" t="s">
        <v>349</v>
      </c>
      <c r="AA15" s="703"/>
      <c r="AB15" s="703"/>
      <c r="AC15" s="703"/>
    </row>
    <row r="16" spans="2:38" ht="13.8" thickBot="1">
      <c r="B16" s="89" t="s">
        <v>180</v>
      </c>
      <c r="C16" s="11">
        <v>-16.45</v>
      </c>
      <c r="D16" s="11">
        <v>1.69</v>
      </c>
      <c r="E16" s="12">
        <v>0.59</v>
      </c>
      <c r="F16" s="159"/>
      <c r="G16" s="20"/>
      <c r="H16" s="20"/>
      <c r="I16" s="20"/>
      <c r="K16" s="89" t="s">
        <v>180</v>
      </c>
      <c r="L16" s="11">
        <v>-6.37</v>
      </c>
      <c r="M16" s="11">
        <v>0.47</v>
      </c>
      <c r="N16" s="12">
        <v>1.06</v>
      </c>
      <c r="O16" s="159"/>
      <c r="P16" s="20"/>
      <c r="Q16" s="20"/>
      <c r="R16" s="20"/>
      <c r="T16" s="716"/>
      <c r="U16" s="716"/>
      <c r="V16" s="716"/>
      <c r="W16" s="33"/>
      <c r="X16" s="33"/>
      <c r="Y16" s="33"/>
      <c r="Z16" s="704"/>
      <c r="AA16" s="704"/>
      <c r="AB16" s="704"/>
      <c r="AC16" s="704"/>
      <c r="AL16" s="16"/>
    </row>
    <row r="17" spans="2:42">
      <c r="B17" s="89" t="s">
        <v>101</v>
      </c>
      <c r="C17" s="11">
        <v>-12.08</v>
      </c>
      <c r="D17" s="11">
        <v>1.25</v>
      </c>
      <c r="E17" s="12">
        <v>0.99</v>
      </c>
      <c r="F17" s="159"/>
      <c r="G17" s="20"/>
      <c r="H17" s="20"/>
      <c r="I17" s="20"/>
      <c r="K17" s="89" t="s">
        <v>101</v>
      </c>
      <c r="L17" s="11">
        <v>-7.37</v>
      </c>
      <c r="M17" s="11">
        <v>0.61</v>
      </c>
      <c r="N17" s="12">
        <v>0.54</v>
      </c>
      <c r="O17" s="159"/>
      <c r="P17" s="20"/>
      <c r="Q17" s="20"/>
      <c r="R17" s="20"/>
      <c r="T17" s="716"/>
      <c r="U17" s="716"/>
      <c r="V17" s="716"/>
      <c r="AA17" s="1"/>
      <c r="AL17" s="17"/>
    </row>
    <row r="18" spans="2:42" ht="13.8" thickBot="1">
      <c r="B18" s="109" t="s">
        <v>104</v>
      </c>
      <c r="C18" s="11">
        <v>-12.76</v>
      </c>
      <c r="D18" s="11">
        <v>1.28</v>
      </c>
      <c r="E18" s="12">
        <v>1.31</v>
      </c>
      <c r="F18" s="159"/>
      <c r="G18" s="20"/>
      <c r="H18" s="20"/>
      <c r="I18" s="20"/>
      <c r="K18" s="109" t="s">
        <v>104</v>
      </c>
      <c r="L18" s="11">
        <v>-8.7100000000000009</v>
      </c>
      <c r="M18" s="11">
        <v>0.66</v>
      </c>
      <c r="N18" s="12">
        <v>0.28000000000000003</v>
      </c>
      <c r="O18" s="159"/>
      <c r="P18" s="20"/>
      <c r="Q18" s="20"/>
      <c r="R18" s="20"/>
      <c r="T18" s="669"/>
      <c r="U18" s="669"/>
      <c r="V18" s="669"/>
      <c r="W18" s="16"/>
      <c r="AA18" s="32"/>
    </row>
    <row r="19" spans="2:42" ht="13.8" thickBot="1">
      <c r="B19" s="89" t="s">
        <v>195</v>
      </c>
      <c r="C19" s="11">
        <v>-10.47</v>
      </c>
      <c r="D19" s="11">
        <v>1.1200000000000001</v>
      </c>
      <c r="E19" s="12">
        <v>0.62</v>
      </c>
      <c r="F19" s="159"/>
      <c r="G19" s="20"/>
      <c r="H19" s="20"/>
      <c r="I19" s="20"/>
      <c r="K19" s="89" t="s">
        <v>195</v>
      </c>
      <c r="L19" s="11">
        <v>-4.43</v>
      </c>
      <c r="M19" s="11">
        <v>0.35</v>
      </c>
      <c r="N19" s="12">
        <v>0.36</v>
      </c>
      <c r="O19" s="159"/>
      <c r="P19" s="20"/>
      <c r="Q19" s="20"/>
      <c r="R19" s="20"/>
      <c r="T19" s="591" t="s">
        <v>213</v>
      </c>
      <c r="U19" s="591"/>
      <c r="V19" s="5" t="s">
        <v>103</v>
      </c>
      <c r="AA19" s="32"/>
      <c r="AL19" s="5"/>
    </row>
    <row r="20" spans="2:42">
      <c r="B20" s="617" t="s">
        <v>240</v>
      </c>
      <c r="C20" s="291"/>
      <c r="D20" s="291"/>
      <c r="E20" s="285"/>
      <c r="F20" s="159"/>
      <c r="G20" s="20"/>
      <c r="H20" s="20"/>
      <c r="I20" s="20"/>
      <c r="K20" s="631" t="s">
        <v>240</v>
      </c>
      <c r="L20" s="631"/>
      <c r="M20" s="631"/>
      <c r="N20" s="632"/>
      <c r="O20" s="159"/>
      <c r="P20" s="20"/>
      <c r="Q20" s="20"/>
      <c r="R20" s="20"/>
      <c r="T20" s="717">
        <v>10</v>
      </c>
      <c r="U20" s="298"/>
      <c r="V20" s="94">
        <v>1.01</v>
      </c>
      <c r="AO20" s="93"/>
      <c r="AP20" s="60"/>
    </row>
    <row r="21" spans="2:42">
      <c r="B21" s="89" t="s">
        <v>181</v>
      </c>
      <c r="C21" s="11">
        <v>-15.62</v>
      </c>
      <c r="D21" s="11">
        <v>1.69</v>
      </c>
      <c r="E21" s="12">
        <v>0.87</v>
      </c>
      <c r="F21" s="159"/>
      <c r="G21" s="20"/>
      <c r="H21" s="20"/>
      <c r="I21" s="20"/>
      <c r="K21" s="89" t="s">
        <v>181</v>
      </c>
      <c r="L21" s="11">
        <v>-6.51</v>
      </c>
      <c r="M21" s="11">
        <v>0.64</v>
      </c>
      <c r="N21" s="12">
        <v>0.87</v>
      </c>
      <c r="O21" s="159"/>
      <c r="P21" s="20"/>
      <c r="Q21" s="20"/>
      <c r="R21" s="20"/>
      <c r="T21" s="675">
        <v>15</v>
      </c>
      <c r="U21" s="334"/>
      <c r="V21" s="12">
        <v>1</v>
      </c>
      <c r="AA21" s="5"/>
      <c r="AB21" s="1"/>
      <c r="AC21" s="5"/>
      <c r="AP21" s="60"/>
    </row>
    <row r="22" spans="2:42">
      <c r="B22" s="89" t="s">
        <v>180</v>
      </c>
      <c r="C22" s="11">
        <v>-11.95</v>
      </c>
      <c r="D22" s="11">
        <v>1.33</v>
      </c>
      <c r="E22" s="12">
        <v>0.59</v>
      </c>
      <c r="F22" s="159"/>
      <c r="G22" s="20"/>
      <c r="H22" s="20"/>
      <c r="I22" s="20"/>
      <c r="K22" s="89" t="s">
        <v>180</v>
      </c>
      <c r="L22" s="11">
        <v>-6.29</v>
      </c>
      <c r="M22" s="11">
        <v>0.56000000000000005</v>
      </c>
      <c r="N22" s="12">
        <v>1.93</v>
      </c>
      <c r="O22" s="159"/>
      <c r="P22" s="20"/>
      <c r="Q22" s="20"/>
      <c r="R22" s="20"/>
      <c r="T22" s="675">
        <v>20</v>
      </c>
      <c r="U22" s="334"/>
      <c r="V22" s="12">
        <v>0.99</v>
      </c>
      <c r="AA22" s="1"/>
      <c r="AB22" s="1"/>
      <c r="AP22" s="60"/>
    </row>
    <row r="23" spans="2:42">
      <c r="B23" s="89" t="s">
        <v>101</v>
      </c>
      <c r="C23" s="11">
        <v>-12.53</v>
      </c>
      <c r="D23" s="11">
        <v>1.38</v>
      </c>
      <c r="E23" s="12">
        <v>1.08</v>
      </c>
      <c r="F23" s="159"/>
      <c r="G23" s="20"/>
      <c r="H23" s="20"/>
      <c r="I23" s="20"/>
      <c r="K23" s="89" t="s">
        <v>101</v>
      </c>
      <c r="L23" s="11">
        <v>-8.5</v>
      </c>
      <c r="M23" s="11">
        <v>0.84</v>
      </c>
      <c r="N23" s="12">
        <v>0.97</v>
      </c>
      <c r="O23" s="159"/>
      <c r="P23" s="20"/>
      <c r="Q23" s="20"/>
      <c r="R23" s="20"/>
      <c r="T23" s="675">
        <v>30</v>
      </c>
      <c r="U23" s="334"/>
      <c r="V23" s="12">
        <v>0.98</v>
      </c>
      <c r="AP23" s="60"/>
    </row>
    <row r="24" spans="2:42">
      <c r="B24" s="109" t="s">
        <v>104</v>
      </c>
      <c r="C24" s="11">
        <v>-12.81</v>
      </c>
      <c r="D24" s="11">
        <v>1.38</v>
      </c>
      <c r="E24" s="12">
        <v>1.34</v>
      </c>
      <c r="F24" s="159"/>
      <c r="G24" s="20"/>
      <c r="H24" s="20"/>
      <c r="I24" s="20"/>
      <c r="K24" s="109" t="s">
        <v>104</v>
      </c>
      <c r="L24" s="11">
        <v>-5.04</v>
      </c>
      <c r="M24" s="11">
        <v>0.45</v>
      </c>
      <c r="N24" s="12">
        <v>1.06</v>
      </c>
      <c r="O24" s="159"/>
      <c r="P24" s="20"/>
      <c r="Q24" s="20"/>
      <c r="R24" s="20"/>
      <c r="T24" s="675">
        <v>40</v>
      </c>
      <c r="U24" s="334"/>
      <c r="V24" s="12">
        <v>0.97</v>
      </c>
      <c r="AA24" s="29"/>
      <c r="AB24" s="29"/>
      <c r="AC24" s="29"/>
      <c r="AD24" s="27"/>
      <c r="AP24" s="60"/>
    </row>
    <row r="25" spans="2:42" ht="13.8" thickBot="1">
      <c r="B25" s="92" t="s">
        <v>195</v>
      </c>
      <c r="C25" s="13">
        <v>-9.9700000000000006</v>
      </c>
      <c r="D25" s="13">
        <v>1.17</v>
      </c>
      <c r="E25" s="84">
        <v>0.88</v>
      </c>
      <c r="F25" s="160"/>
      <c r="G25" s="161"/>
      <c r="H25" s="161"/>
      <c r="I25" s="161"/>
      <c r="K25" s="92" t="s">
        <v>195</v>
      </c>
      <c r="L25" s="13">
        <v>-5.83</v>
      </c>
      <c r="M25" s="13">
        <v>0.61</v>
      </c>
      <c r="N25" s="84">
        <v>0.55000000000000004</v>
      </c>
      <c r="O25" s="160"/>
      <c r="P25" s="161"/>
      <c r="Q25" s="161"/>
      <c r="R25" s="161"/>
      <c r="T25" s="675">
        <v>50</v>
      </c>
      <c r="U25" s="334"/>
      <c r="V25" s="12">
        <v>0.96</v>
      </c>
      <c r="AA25" s="27"/>
      <c r="AB25" s="27"/>
      <c r="AC25" s="27"/>
      <c r="AD25" s="27"/>
      <c r="AP25" s="60"/>
    </row>
    <row r="26" spans="2:42" ht="13.8" thickBot="1">
      <c r="B26" s="1"/>
      <c r="C26" s="1"/>
      <c r="D26" s="1"/>
      <c r="E26" s="1"/>
      <c r="F26" s="1"/>
      <c r="G26" s="1"/>
      <c r="H26" s="1"/>
      <c r="I26" s="1"/>
      <c r="J26" s="1"/>
      <c r="K26" s="1"/>
      <c r="L26" s="1"/>
      <c r="M26" s="1"/>
      <c r="N26" s="1"/>
      <c r="O26" s="1"/>
      <c r="P26" s="1"/>
      <c r="Q26" s="1"/>
      <c r="R26" s="1"/>
      <c r="T26" s="675">
        <v>60</v>
      </c>
      <c r="U26" s="334"/>
      <c r="V26" s="12">
        <v>0.95</v>
      </c>
      <c r="AA26" s="24"/>
      <c r="AB26" s="24"/>
      <c r="AC26" s="24"/>
      <c r="AD26" s="24"/>
    </row>
    <row r="27" spans="2:42" ht="14.4" thickTop="1" thickBot="1">
      <c r="B27" s="585" t="s">
        <v>577</v>
      </c>
      <c r="C27" s="585"/>
      <c r="D27" s="585"/>
      <c r="E27" s="585"/>
      <c r="F27" s="585"/>
      <c r="G27" s="585"/>
      <c r="H27" s="585"/>
      <c r="I27" s="1"/>
      <c r="J27" s="1"/>
      <c r="K27" s="595" t="s">
        <v>654</v>
      </c>
      <c r="L27" s="595"/>
      <c r="M27" s="595"/>
      <c r="N27" s="595"/>
      <c r="O27" s="595"/>
      <c r="P27" s="595"/>
      <c r="Q27" s="1"/>
      <c r="R27" s="1"/>
      <c r="T27" s="675">
        <v>70</v>
      </c>
      <c r="U27" s="334"/>
      <c r="V27" s="12">
        <v>0.94</v>
      </c>
      <c r="AA27" s="24"/>
      <c r="AB27" s="24"/>
      <c r="AC27" s="24"/>
      <c r="AD27" s="24"/>
    </row>
    <row r="28" spans="2:42" ht="13.8" thickBot="1">
      <c r="B28" s="586"/>
      <c r="C28" s="586"/>
      <c r="D28" s="586"/>
      <c r="E28" s="586"/>
      <c r="F28" s="586"/>
      <c r="G28" s="586"/>
      <c r="H28" s="586"/>
      <c r="I28" s="1"/>
      <c r="J28" s="1"/>
      <c r="K28" s="174" t="s">
        <v>641</v>
      </c>
      <c r="L28" s="172" t="s">
        <v>181</v>
      </c>
      <c r="M28" s="172" t="s">
        <v>180</v>
      </c>
      <c r="N28" s="172" t="s">
        <v>104</v>
      </c>
      <c r="O28" s="172" t="s">
        <v>101</v>
      </c>
      <c r="P28" s="172" t="s">
        <v>195</v>
      </c>
      <c r="Q28" s="1"/>
      <c r="R28" s="1"/>
      <c r="T28" s="675">
        <v>80</v>
      </c>
      <c r="U28" s="334"/>
      <c r="V28" s="12">
        <v>0.93</v>
      </c>
      <c r="AA28" s="24"/>
      <c r="AB28" s="24"/>
      <c r="AC28" s="24"/>
      <c r="AD28" s="24"/>
    </row>
    <row r="29" spans="2:42" ht="13.8" customHeight="1" thickBot="1">
      <c r="B29" s="629" t="s">
        <v>69</v>
      </c>
      <c r="C29" s="629"/>
      <c r="D29" s="244" t="s">
        <v>67</v>
      </c>
      <c r="E29" s="658"/>
      <c r="F29" s="659"/>
      <c r="G29" s="659"/>
      <c r="H29" s="659"/>
      <c r="I29" s="1"/>
      <c r="J29" s="1"/>
      <c r="K29" s="20" t="s">
        <v>642</v>
      </c>
      <c r="L29" s="149">
        <v>1</v>
      </c>
      <c r="M29" s="149">
        <v>1</v>
      </c>
      <c r="N29" s="149">
        <v>1</v>
      </c>
      <c r="O29" s="149">
        <v>1</v>
      </c>
      <c r="P29" s="149">
        <v>1</v>
      </c>
      <c r="R29" s="1"/>
      <c r="T29" s="675">
        <v>90</v>
      </c>
      <c r="U29" s="334"/>
      <c r="V29" s="12">
        <v>0.93</v>
      </c>
      <c r="AA29" s="24"/>
      <c r="AB29" s="24"/>
      <c r="AC29" s="24"/>
      <c r="AD29" s="24"/>
    </row>
    <row r="30" spans="2:42" ht="13.8" thickBot="1">
      <c r="B30" s="709" t="s">
        <v>331</v>
      </c>
      <c r="C30" s="710"/>
      <c r="D30" s="569" t="s">
        <v>340</v>
      </c>
      <c r="E30" s="569"/>
      <c r="F30" s="569"/>
      <c r="G30" s="569"/>
      <c r="H30" s="570"/>
      <c r="I30" s="1"/>
      <c r="J30" s="1"/>
      <c r="K30" s="20" t="s">
        <v>643</v>
      </c>
      <c r="L30" s="258">
        <v>0.87728595947662891</v>
      </c>
      <c r="M30" s="258">
        <v>1.3733242004335426</v>
      </c>
      <c r="N30" s="258">
        <v>1.3543721554896235</v>
      </c>
      <c r="O30" s="258">
        <v>1.0585579896512662</v>
      </c>
      <c r="P30" s="258">
        <v>1.5500201900924686</v>
      </c>
      <c r="Q30" s="1"/>
      <c r="R30" s="1"/>
      <c r="T30" s="676">
        <v>100</v>
      </c>
      <c r="U30" s="304"/>
      <c r="V30" s="84">
        <v>0.92</v>
      </c>
      <c r="AA30" s="24"/>
      <c r="AB30" s="24"/>
      <c r="AC30" s="24"/>
      <c r="AD30" s="24"/>
    </row>
    <row r="31" spans="2:42">
      <c r="B31" s="711"/>
      <c r="C31" s="712"/>
      <c r="D31" s="115" t="s">
        <v>181</v>
      </c>
      <c r="E31" s="115" t="s">
        <v>180</v>
      </c>
      <c r="F31" s="115" t="s">
        <v>101</v>
      </c>
      <c r="G31" s="115" t="s">
        <v>104</v>
      </c>
      <c r="H31" s="117" t="s">
        <v>195</v>
      </c>
      <c r="I31" s="1"/>
      <c r="J31" s="1"/>
      <c r="K31" s="20" t="s">
        <v>644</v>
      </c>
      <c r="L31" s="258">
        <v>1.072234390305645</v>
      </c>
      <c r="M31" s="258">
        <v>1.112540192926045</v>
      </c>
      <c r="N31" s="258">
        <v>0.91236630786580564</v>
      </c>
      <c r="O31" s="258">
        <v>1.1415212974639204</v>
      </c>
      <c r="P31" s="258">
        <v>0.76034273501094563</v>
      </c>
      <c r="Q31" s="1"/>
      <c r="R31" s="1"/>
      <c r="AA31" s="24"/>
      <c r="AB31" s="24"/>
      <c r="AC31" s="24"/>
      <c r="AD31" s="24"/>
    </row>
    <row r="32" spans="2:42">
      <c r="B32" s="587" t="s">
        <v>332</v>
      </c>
      <c r="C32" s="588"/>
      <c r="D32" s="588"/>
      <c r="E32" s="588"/>
      <c r="F32" s="588"/>
      <c r="G32" s="588"/>
      <c r="H32" s="589"/>
      <c r="I32" s="1"/>
      <c r="J32" s="1"/>
      <c r="K32" s="20" t="s">
        <v>645</v>
      </c>
      <c r="L32" s="258">
        <v>1.0202999558846082</v>
      </c>
      <c r="M32" s="258">
        <v>0.82418314895472511</v>
      </c>
      <c r="N32" s="258">
        <v>1.0138439642806198</v>
      </c>
      <c r="O32" s="258">
        <v>0.77354870523563046</v>
      </c>
      <c r="P32" s="258">
        <v>0.82405767719294332</v>
      </c>
      <c r="Q32" s="1"/>
      <c r="R32" s="1"/>
      <c r="AA32" s="24"/>
      <c r="AB32" s="24"/>
      <c r="AC32" s="24"/>
      <c r="AD32" s="24"/>
    </row>
    <row r="33" spans="2:30" ht="13.8" thickBot="1">
      <c r="B33" s="706" t="s">
        <v>281</v>
      </c>
      <c r="C33" s="707"/>
      <c r="D33" s="3">
        <v>0.158</v>
      </c>
      <c r="E33" s="3">
        <v>0.10199999999999999</v>
      </c>
      <c r="F33" s="3">
        <v>0.182</v>
      </c>
      <c r="G33" s="3">
        <v>3.3000000000000002E-2</v>
      </c>
      <c r="H33" s="41">
        <v>0.16500000000000001</v>
      </c>
      <c r="I33" s="1"/>
      <c r="J33" s="1"/>
      <c r="K33" s="161" t="s">
        <v>646</v>
      </c>
      <c r="L33" s="257">
        <v>1.0934227596481882</v>
      </c>
      <c r="M33" s="257">
        <v>1</v>
      </c>
      <c r="N33" s="257">
        <v>0.8026093838953019</v>
      </c>
      <c r="O33" s="257">
        <v>1.2272412166706568</v>
      </c>
      <c r="P33" s="257">
        <v>1</v>
      </c>
      <c r="Q33" s="1"/>
      <c r="R33" s="1"/>
      <c r="AA33" s="24"/>
      <c r="AB33" s="24"/>
      <c r="AC33" s="24"/>
      <c r="AD33" s="24"/>
    </row>
    <row r="34" spans="2:30" ht="13.8" thickBot="1">
      <c r="B34" s="706" t="s">
        <v>282</v>
      </c>
      <c r="C34" s="707"/>
      <c r="D34" s="3">
        <v>0.05</v>
      </c>
      <c r="E34" s="3">
        <v>3.2000000000000001E-2</v>
      </c>
      <c r="F34" s="3">
        <v>5.8000000000000003E-2</v>
      </c>
      <c r="G34" s="3">
        <v>1.0999999999999999E-2</v>
      </c>
      <c r="H34" s="41">
        <v>5.2999999999999999E-2</v>
      </c>
      <c r="I34" s="1"/>
      <c r="J34" s="1"/>
      <c r="Q34" s="1"/>
      <c r="R34" s="1"/>
      <c r="AA34" s="24"/>
      <c r="AB34" s="24"/>
      <c r="AC34" s="24"/>
      <c r="AD34" s="24"/>
    </row>
    <row r="35" spans="2:30" ht="14.4" thickTop="1" thickBot="1">
      <c r="B35" s="706" t="s">
        <v>333</v>
      </c>
      <c r="C35" s="707"/>
      <c r="D35" s="3">
        <v>0.17199999999999999</v>
      </c>
      <c r="E35" s="3">
        <v>0.11</v>
      </c>
      <c r="F35" s="3">
        <v>0.19800000000000001</v>
      </c>
      <c r="G35" s="3">
        <v>3.5999999999999997E-2</v>
      </c>
      <c r="H35" s="41">
        <v>0.18099999999999999</v>
      </c>
      <c r="I35" s="1"/>
      <c r="J35" s="1"/>
      <c r="K35" s="595" t="s">
        <v>663</v>
      </c>
      <c r="L35" s="595"/>
      <c r="M35" s="595"/>
      <c r="N35" s="595"/>
      <c r="O35" s="595"/>
      <c r="P35" s="595"/>
      <c r="Q35" s="595"/>
      <c r="R35" s="1"/>
      <c r="AA35" s="24"/>
      <c r="AB35" s="24"/>
      <c r="AC35" s="24"/>
      <c r="AD35" s="24"/>
    </row>
    <row r="36" spans="2:30">
      <c r="B36" s="706" t="s">
        <v>334</v>
      </c>
      <c r="C36" s="707"/>
      <c r="D36" s="3">
        <v>2.3E-2</v>
      </c>
      <c r="E36" s="3">
        <v>1.4999999999999999E-2</v>
      </c>
      <c r="F36" s="3">
        <v>2.5999999999999999E-2</v>
      </c>
      <c r="G36" s="3">
        <v>5.0000000000000001E-3</v>
      </c>
      <c r="H36" s="41">
        <v>2.4E-2</v>
      </c>
      <c r="I36" s="1"/>
      <c r="J36" s="1"/>
      <c r="K36" s="282" t="s">
        <v>42</v>
      </c>
      <c r="L36" s="597"/>
      <c r="M36" s="456" t="s">
        <v>662</v>
      </c>
      <c r="N36" s="596"/>
      <c r="O36" s="596"/>
      <c r="P36" s="596"/>
      <c r="Q36" s="596"/>
      <c r="R36" s="1"/>
      <c r="AA36" s="24"/>
      <c r="AB36" s="24"/>
      <c r="AC36" s="24"/>
      <c r="AD36" s="24"/>
    </row>
    <row r="37" spans="2:30" ht="13.8" thickBot="1">
      <c r="B37" s="706" t="s">
        <v>285</v>
      </c>
      <c r="C37" s="707"/>
      <c r="D37" s="3">
        <v>8.3000000000000004E-2</v>
      </c>
      <c r="E37" s="3">
        <v>5.2999999999999999E-2</v>
      </c>
      <c r="F37" s="3">
        <v>9.6000000000000002E-2</v>
      </c>
      <c r="G37" s="3">
        <v>1.7999999999999999E-2</v>
      </c>
      <c r="H37" s="41">
        <v>8.6999999999999994E-2</v>
      </c>
      <c r="I37" s="1"/>
      <c r="J37" s="1"/>
      <c r="K37" s="593"/>
      <c r="L37" s="594"/>
      <c r="M37" s="166" t="s">
        <v>181</v>
      </c>
      <c r="N37" s="166" t="s">
        <v>180</v>
      </c>
      <c r="O37" s="166" t="s">
        <v>104</v>
      </c>
      <c r="P37" s="166" t="s">
        <v>101</v>
      </c>
      <c r="Q37" s="166" t="s">
        <v>195</v>
      </c>
      <c r="R37" s="1"/>
      <c r="AA37" s="24"/>
      <c r="AB37" s="24"/>
      <c r="AC37" s="24"/>
      <c r="AD37" s="24"/>
    </row>
    <row r="38" spans="2:30">
      <c r="B38" s="706" t="s">
        <v>286</v>
      </c>
      <c r="C38" s="707"/>
      <c r="D38" s="3">
        <v>1.6E-2</v>
      </c>
      <c r="E38" s="3">
        <v>0.01</v>
      </c>
      <c r="F38" s="3">
        <v>1.7999999999999999E-2</v>
      </c>
      <c r="G38" s="3">
        <v>3.0000000000000001E-3</v>
      </c>
      <c r="H38" s="41">
        <v>1.6E-2</v>
      </c>
      <c r="I38" s="1"/>
      <c r="J38" s="1"/>
      <c r="K38" s="523" t="s">
        <v>655</v>
      </c>
      <c r="L38" s="604"/>
      <c r="M38" s="259">
        <v>0.7</v>
      </c>
      <c r="N38" s="259">
        <v>0.8</v>
      </c>
      <c r="O38" s="259">
        <v>0.6</v>
      </c>
      <c r="P38" s="259">
        <v>0.7</v>
      </c>
      <c r="Q38" s="260">
        <v>0.8</v>
      </c>
      <c r="R38" s="1"/>
      <c r="AA38" s="24"/>
      <c r="AB38" s="24"/>
      <c r="AC38" s="24"/>
      <c r="AD38" s="24"/>
    </row>
    <row r="39" spans="2:30">
      <c r="B39" s="706" t="s">
        <v>94</v>
      </c>
      <c r="C39" s="707"/>
      <c r="D39" s="3">
        <v>2.5000000000000001E-2</v>
      </c>
      <c r="E39" s="3">
        <v>1.6E-2</v>
      </c>
      <c r="F39" s="3">
        <v>2.9000000000000001E-2</v>
      </c>
      <c r="G39" s="3">
        <v>5.0000000000000001E-3</v>
      </c>
      <c r="H39" s="41">
        <v>2.7E-2</v>
      </c>
      <c r="I39" s="1"/>
      <c r="J39" s="1"/>
      <c r="K39" s="442" t="s">
        <v>656</v>
      </c>
      <c r="L39" s="455"/>
      <c r="M39" s="261">
        <v>0.7</v>
      </c>
      <c r="N39" s="261">
        <v>3.1</v>
      </c>
      <c r="O39" s="261">
        <v>1.5</v>
      </c>
      <c r="P39" s="261">
        <v>1</v>
      </c>
      <c r="Q39" s="262">
        <v>2</v>
      </c>
      <c r="R39" s="1"/>
      <c r="AA39" s="24"/>
      <c r="AB39" s="24"/>
      <c r="AC39" s="24"/>
      <c r="AD39" s="24"/>
    </row>
    <row r="40" spans="2:30">
      <c r="B40" s="587" t="s">
        <v>335</v>
      </c>
      <c r="C40" s="588"/>
      <c r="D40" s="588"/>
      <c r="E40" s="588"/>
      <c r="F40" s="588"/>
      <c r="G40" s="588"/>
      <c r="H40" s="589"/>
      <c r="I40" s="1"/>
      <c r="J40" s="1"/>
      <c r="K40" s="442" t="s">
        <v>657</v>
      </c>
      <c r="L40" s="455"/>
      <c r="M40" s="261">
        <v>8.3000000000000007</v>
      </c>
      <c r="N40" s="261">
        <v>8.6</v>
      </c>
      <c r="O40" s="261">
        <v>11.8</v>
      </c>
      <c r="P40" s="261">
        <v>7.6</v>
      </c>
      <c r="Q40" s="262">
        <v>11.5</v>
      </c>
      <c r="R40" s="1"/>
      <c r="AA40" s="24"/>
      <c r="AB40" s="24"/>
      <c r="AC40" s="24"/>
      <c r="AD40" s="24"/>
    </row>
    <row r="41" spans="2:30" ht="13.8" thickBot="1">
      <c r="B41" s="706" t="s">
        <v>336</v>
      </c>
      <c r="C41" s="707"/>
      <c r="D41" s="3">
        <v>1</v>
      </c>
      <c r="E41" s="3">
        <v>1</v>
      </c>
      <c r="F41" s="3">
        <v>1.1719999999999999</v>
      </c>
      <c r="G41" s="3">
        <v>1.1060000000000001</v>
      </c>
      <c r="H41" s="41">
        <v>1.1719999999999999</v>
      </c>
      <c r="I41" s="1"/>
      <c r="J41" s="1"/>
      <c r="K41" s="600" t="s">
        <v>658</v>
      </c>
      <c r="L41" s="601"/>
      <c r="M41" s="263">
        <v>18.7</v>
      </c>
      <c r="N41" s="263">
        <v>24.3</v>
      </c>
      <c r="O41" s="263">
        <v>18.5</v>
      </c>
      <c r="P41" s="263">
        <v>18.100000000000001</v>
      </c>
      <c r="Q41" s="264">
        <v>16.899999999999999</v>
      </c>
      <c r="R41" s="1"/>
      <c r="AA41" s="24"/>
      <c r="AB41" s="24"/>
      <c r="AC41" s="24"/>
      <c r="AD41" s="24"/>
    </row>
    <row r="42" spans="2:30" ht="13.8" thickTop="1">
      <c r="B42" s="587" t="s">
        <v>337</v>
      </c>
      <c r="C42" s="588"/>
      <c r="D42" s="588"/>
      <c r="E42" s="588"/>
      <c r="F42" s="588"/>
      <c r="G42" s="588"/>
      <c r="H42" s="589"/>
      <c r="I42" s="1"/>
      <c r="J42" s="1"/>
      <c r="K42" s="602" t="s">
        <v>659</v>
      </c>
      <c r="L42" s="603"/>
      <c r="M42" s="167">
        <f>SUM(M38:M41)</f>
        <v>28.4</v>
      </c>
      <c r="N42" s="167">
        <f>SUM(N38:N41)</f>
        <v>36.799999999999997</v>
      </c>
      <c r="O42" s="167">
        <f>SUM(O38:O41)</f>
        <v>32.4</v>
      </c>
      <c r="P42" s="167">
        <f>SUM(P38:P41)</f>
        <v>27.4</v>
      </c>
      <c r="Q42" s="167">
        <f>SUM(Q38:Q41)</f>
        <v>31.2</v>
      </c>
      <c r="R42" s="1"/>
      <c r="AA42" s="24"/>
      <c r="AB42" s="24"/>
      <c r="AC42" s="24"/>
      <c r="AD42" s="24"/>
    </row>
    <row r="43" spans="2:30" ht="13.8" thickBot="1">
      <c r="B43" s="706" t="s">
        <v>336</v>
      </c>
      <c r="C43" s="707"/>
      <c r="D43" s="11">
        <v>0.81</v>
      </c>
      <c r="E43" s="11">
        <v>1.1000000000000001</v>
      </c>
      <c r="F43" s="11">
        <v>0.81</v>
      </c>
      <c r="G43" s="11">
        <v>1.39</v>
      </c>
      <c r="H43" s="12">
        <v>0.1</v>
      </c>
      <c r="I43" s="1"/>
      <c r="J43" s="1"/>
      <c r="K43" s="600" t="s">
        <v>660</v>
      </c>
      <c r="L43" s="601"/>
      <c r="M43" s="168">
        <f>100-M42</f>
        <v>71.599999999999994</v>
      </c>
      <c r="N43" s="168">
        <f>100-N42</f>
        <v>63.2</v>
      </c>
      <c r="O43" s="168">
        <f>100-O42</f>
        <v>67.599999999999994</v>
      </c>
      <c r="P43" s="168">
        <f>100-P42</f>
        <v>72.599999999999994</v>
      </c>
      <c r="Q43" s="168">
        <f>100-Q42</f>
        <v>68.8</v>
      </c>
      <c r="R43" s="1"/>
      <c r="AA43" s="24"/>
      <c r="AB43" s="24"/>
      <c r="AC43" s="24"/>
      <c r="AD43" s="24"/>
    </row>
    <row r="44" spans="2:30" ht="14.4" thickTop="1" thickBot="1">
      <c r="B44" s="587" t="s">
        <v>338</v>
      </c>
      <c r="C44" s="588"/>
      <c r="D44" s="588"/>
      <c r="E44" s="588"/>
      <c r="F44" s="588"/>
      <c r="G44" s="588"/>
      <c r="H44" s="589"/>
      <c r="I44" s="1"/>
      <c r="J44" s="1"/>
      <c r="K44" s="598" t="s">
        <v>661</v>
      </c>
      <c r="L44" s="599"/>
      <c r="M44" s="171">
        <f>SUM(M42:M43)</f>
        <v>100</v>
      </c>
      <c r="N44" s="171">
        <f>SUM(N42:N43)</f>
        <v>100</v>
      </c>
      <c r="O44" s="171">
        <f>SUM(O42:O43)</f>
        <v>100</v>
      </c>
      <c r="P44" s="171">
        <f>SUM(P42:P43)</f>
        <v>100</v>
      </c>
      <c r="Q44" s="171">
        <f>SUM(Q42:Q43)</f>
        <v>100</v>
      </c>
      <c r="R44" s="1"/>
      <c r="AA44" s="24"/>
      <c r="AB44" s="24"/>
      <c r="AC44" s="24"/>
      <c r="AD44" s="24"/>
    </row>
    <row r="45" spans="2:30" ht="13.8" thickBot="1">
      <c r="B45" s="706" t="s">
        <v>336</v>
      </c>
      <c r="C45" s="707"/>
      <c r="D45" s="3">
        <v>0.32300000000000001</v>
      </c>
      <c r="E45" s="3">
        <v>0.24299999999999999</v>
      </c>
      <c r="F45" s="3">
        <v>0.34200000000000003</v>
      </c>
      <c r="G45" s="3">
        <v>0.28399999999999997</v>
      </c>
      <c r="H45" s="41">
        <v>0.26900000000000002</v>
      </c>
      <c r="I45" s="1"/>
      <c r="J45" s="1"/>
      <c r="R45" s="1"/>
      <c r="AA45" s="24"/>
      <c r="AB45" s="24"/>
      <c r="AC45" s="24"/>
      <c r="AD45" s="24"/>
    </row>
    <row r="46" spans="2:30" ht="14.4" thickTop="1" thickBot="1">
      <c r="B46" s="587" t="s">
        <v>339</v>
      </c>
      <c r="C46" s="588"/>
      <c r="D46" s="588"/>
      <c r="E46" s="588"/>
      <c r="F46" s="588"/>
      <c r="G46" s="588"/>
      <c r="H46" s="589"/>
      <c r="I46" s="1"/>
      <c r="J46" s="1"/>
      <c r="K46" s="595" t="s">
        <v>664</v>
      </c>
      <c r="L46" s="595"/>
      <c r="M46" s="595"/>
      <c r="N46" s="595"/>
      <c r="O46" s="595"/>
      <c r="P46" s="595"/>
      <c r="Q46" s="595"/>
      <c r="R46" s="1"/>
      <c r="AA46" s="24"/>
      <c r="AB46" s="24"/>
      <c r="AC46" s="24"/>
      <c r="AD46" s="24"/>
    </row>
    <row r="47" spans="2:30">
      <c r="B47" s="727" t="s">
        <v>336</v>
      </c>
      <c r="C47" s="728"/>
      <c r="D47" s="76">
        <v>0.67700000000000005</v>
      </c>
      <c r="E47" s="76">
        <v>0.75700000000000001</v>
      </c>
      <c r="F47" s="76">
        <v>0.65800000000000003</v>
      </c>
      <c r="G47" s="76">
        <v>0.71599999999999997</v>
      </c>
      <c r="H47" s="173">
        <v>0.73099999999999998</v>
      </c>
      <c r="I47" s="1"/>
      <c r="J47" s="1"/>
      <c r="K47" s="591" t="s">
        <v>42</v>
      </c>
      <c r="L47" s="592"/>
      <c r="M47" s="570" t="s">
        <v>662</v>
      </c>
      <c r="N47" s="590"/>
      <c r="O47" s="590"/>
      <c r="P47" s="590"/>
      <c r="Q47" s="590"/>
      <c r="R47" s="1"/>
      <c r="AA47" s="24"/>
      <c r="AB47" s="24"/>
      <c r="AC47" s="24"/>
      <c r="AD47" s="24"/>
    </row>
    <row r="48" spans="2:30" ht="13.2" customHeight="1" thickBot="1">
      <c r="B48" s="609" t="s">
        <v>751</v>
      </c>
      <c r="C48" s="609"/>
      <c r="D48" s="609"/>
      <c r="E48" s="609"/>
      <c r="F48" s="609"/>
      <c r="G48" s="609"/>
      <c r="H48" s="609"/>
      <c r="I48" s="1"/>
      <c r="J48" s="1"/>
      <c r="K48" s="593"/>
      <c r="L48" s="594"/>
      <c r="M48" s="166" t="s">
        <v>181</v>
      </c>
      <c r="N48" s="166" t="s">
        <v>180</v>
      </c>
      <c r="O48" s="166" t="s">
        <v>104</v>
      </c>
      <c r="P48" s="166" t="s">
        <v>101</v>
      </c>
      <c r="Q48" s="166" t="s">
        <v>195</v>
      </c>
      <c r="R48" s="1"/>
      <c r="AA48" s="24"/>
      <c r="AB48" s="24"/>
      <c r="AC48" s="24"/>
      <c r="AD48" s="24"/>
    </row>
    <row r="49" spans="2:38" ht="13.8" customHeight="1">
      <c r="B49" s="610" t="s">
        <v>669</v>
      </c>
      <c r="C49" s="610"/>
      <c r="D49" s="254">
        <v>1.3</v>
      </c>
      <c r="E49" s="254">
        <v>0.99</v>
      </c>
      <c r="F49" s="254">
        <v>0.96</v>
      </c>
      <c r="G49" s="254">
        <v>2.08</v>
      </c>
      <c r="H49" s="255">
        <v>0.92</v>
      </c>
      <c r="I49" s="1"/>
      <c r="J49" s="1"/>
      <c r="K49" s="523" t="s">
        <v>655</v>
      </c>
      <c r="L49" s="604"/>
      <c r="M49" s="259">
        <v>1.4</v>
      </c>
      <c r="N49" s="259">
        <v>2.6</v>
      </c>
      <c r="O49" s="259">
        <v>1.8</v>
      </c>
      <c r="P49" s="259">
        <v>1.8</v>
      </c>
      <c r="Q49" s="260">
        <v>3.8</v>
      </c>
      <c r="R49" s="1"/>
      <c r="AA49" s="24"/>
      <c r="AB49" s="24"/>
      <c r="AC49" s="24"/>
      <c r="AD49" s="24"/>
    </row>
    <row r="50" spans="2:38" ht="13.2" customHeight="1" thickBot="1">
      <c r="B50" s="612" t="s">
        <v>337</v>
      </c>
      <c r="C50" s="612"/>
      <c r="D50" s="256">
        <v>3.75</v>
      </c>
      <c r="E50" s="256">
        <v>1.45</v>
      </c>
      <c r="F50" s="256">
        <v>2.12</v>
      </c>
      <c r="G50" s="256">
        <v>1.48</v>
      </c>
      <c r="H50" s="257">
        <v>1.18</v>
      </c>
      <c r="I50" s="1"/>
      <c r="J50" s="1"/>
      <c r="K50" s="442" t="s">
        <v>656</v>
      </c>
      <c r="L50" s="455"/>
      <c r="M50" s="261">
        <v>6.8</v>
      </c>
      <c r="N50" s="261">
        <v>7</v>
      </c>
      <c r="O50" s="261">
        <v>4.5</v>
      </c>
      <c r="P50" s="261">
        <v>7.6</v>
      </c>
      <c r="Q50" s="262">
        <v>7.8</v>
      </c>
      <c r="R50" s="1"/>
      <c r="AA50" s="24"/>
      <c r="AB50" s="24"/>
      <c r="AC50" s="24"/>
      <c r="AD50" s="24"/>
    </row>
    <row r="51" spans="2:38" ht="13.8" customHeight="1">
      <c r="B51" s="611" t="s">
        <v>748</v>
      </c>
      <c r="C51" s="611"/>
      <c r="D51" s="611"/>
      <c r="E51" s="611"/>
      <c r="F51" s="611"/>
      <c r="G51" s="611"/>
      <c r="H51" s="611"/>
      <c r="I51" s="1"/>
      <c r="J51" s="1"/>
      <c r="K51" s="442" t="s">
        <v>657</v>
      </c>
      <c r="L51" s="455"/>
      <c r="M51" s="261">
        <v>11.3</v>
      </c>
      <c r="N51" s="261">
        <v>11.3</v>
      </c>
      <c r="O51" s="261">
        <v>13.7</v>
      </c>
      <c r="P51" s="261">
        <v>14.7</v>
      </c>
      <c r="Q51" s="262">
        <v>15.6</v>
      </c>
      <c r="R51" s="1"/>
      <c r="AA51" s="24"/>
      <c r="AB51" s="24"/>
      <c r="AC51" s="24"/>
      <c r="AD51" s="24"/>
    </row>
    <row r="52" spans="2:38" ht="13.8" thickBot="1">
      <c r="B52" s="611"/>
      <c r="C52" s="611"/>
      <c r="D52" s="611"/>
      <c r="E52" s="611"/>
      <c r="F52" s="611"/>
      <c r="G52" s="611"/>
      <c r="H52" s="611"/>
      <c r="I52" s="1"/>
      <c r="J52" s="1"/>
      <c r="K52" s="600" t="s">
        <v>658</v>
      </c>
      <c r="L52" s="601"/>
      <c r="M52" s="263">
        <v>19.5</v>
      </c>
      <c r="N52" s="263">
        <v>12.2</v>
      </c>
      <c r="O52" s="263">
        <v>13.5</v>
      </c>
      <c r="P52" s="263">
        <v>12.5</v>
      </c>
      <c r="Q52" s="264">
        <v>14.7</v>
      </c>
      <c r="R52" s="1"/>
      <c r="AA52" s="24"/>
      <c r="AB52" s="24"/>
      <c r="AC52" s="24"/>
      <c r="AD52" s="24"/>
    </row>
    <row r="53" spans="2:38" ht="13.8" thickTop="1">
      <c r="B53" s="1"/>
      <c r="C53" s="1"/>
      <c r="D53" s="1"/>
      <c r="E53" s="1"/>
      <c r="F53" s="1"/>
      <c r="G53" s="1"/>
      <c r="H53" s="1"/>
      <c r="I53" s="1"/>
      <c r="J53" s="1"/>
      <c r="K53" s="602" t="s">
        <v>659</v>
      </c>
      <c r="L53" s="603"/>
      <c r="M53" s="169">
        <f>SUM(M49:M52)</f>
        <v>39</v>
      </c>
      <c r="N53" s="167">
        <f>SUM(N49:N52)</f>
        <v>33.099999999999994</v>
      </c>
      <c r="O53" s="167">
        <f>SUM(O49:O52)</f>
        <v>33.5</v>
      </c>
      <c r="P53" s="167">
        <f>SUM(P49:P52)</f>
        <v>36.6</v>
      </c>
      <c r="Q53" s="167">
        <f>SUM(Q49:Q52)</f>
        <v>41.9</v>
      </c>
      <c r="R53" s="1"/>
      <c r="AA53" s="24"/>
      <c r="AB53" s="24"/>
      <c r="AC53" s="24"/>
      <c r="AD53" s="24"/>
    </row>
    <row r="54" spans="2:38" ht="13.8" thickBot="1">
      <c r="B54" s="1"/>
      <c r="C54" s="1"/>
      <c r="D54" s="1"/>
      <c r="E54" s="1"/>
      <c r="F54" s="1"/>
      <c r="G54" s="1"/>
      <c r="H54" s="1"/>
      <c r="I54" s="1"/>
      <c r="J54" s="1"/>
      <c r="K54" s="600" t="s">
        <v>660</v>
      </c>
      <c r="L54" s="601"/>
      <c r="M54" s="170">
        <f>100-M53</f>
        <v>61</v>
      </c>
      <c r="N54" s="168">
        <f>100-N53</f>
        <v>66.900000000000006</v>
      </c>
      <c r="O54" s="168">
        <f>100-O53</f>
        <v>66.5</v>
      </c>
      <c r="P54" s="168">
        <f>100-P53</f>
        <v>63.4</v>
      </c>
      <c r="Q54" s="168">
        <f>100-Q53</f>
        <v>58.1</v>
      </c>
      <c r="R54" s="1"/>
      <c r="AA54" s="24"/>
      <c r="AB54" s="24"/>
      <c r="AC54" s="24"/>
      <c r="AD54" s="24"/>
    </row>
    <row r="55" spans="2:38" ht="14.4" thickTop="1" thickBot="1">
      <c r="B55" s="1"/>
      <c r="C55" s="1"/>
      <c r="D55" s="1"/>
      <c r="E55" s="1"/>
      <c r="F55" s="1"/>
      <c r="G55" s="1"/>
      <c r="H55" s="1"/>
      <c r="I55" s="1"/>
      <c r="J55" s="1"/>
      <c r="K55" s="598" t="s">
        <v>661</v>
      </c>
      <c r="L55" s="599"/>
      <c r="M55" s="171">
        <f>SUM(M53:M54)</f>
        <v>100</v>
      </c>
      <c r="N55" s="171">
        <f>SUM(N53:N54)</f>
        <v>100</v>
      </c>
      <c r="O55" s="171">
        <f>SUM(O53:O54)</f>
        <v>100</v>
      </c>
      <c r="P55" s="171">
        <f>SUM(P53:P54)</f>
        <v>100</v>
      </c>
      <c r="Q55" s="171">
        <f>SUM(Q53:Q54)</f>
        <v>100</v>
      </c>
      <c r="R55" s="1"/>
      <c r="AA55" s="24"/>
      <c r="AB55" s="24"/>
      <c r="AC55" s="24"/>
      <c r="AD55" s="24"/>
    </row>
    <row r="56" spans="2:38">
      <c r="B56" s="80" t="s">
        <v>457</v>
      </c>
      <c r="C56" s="1"/>
      <c r="D56" s="1"/>
      <c r="E56" s="1"/>
      <c r="F56" s="1"/>
      <c r="G56" s="1"/>
      <c r="H56" s="1"/>
      <c r="I56" s="1"/>
      <c r="J56" s="1"/>
      <c r="K56" s="1"/>
      <c r="L56" s="1"/>
      <c r="M56" s="1"/>
      <c r="N56" s="1"/>
      <c r="O56" s="1"/>
      <c r="P56" s="1"/>
      <c r="Q56" s="1"/>
      <c r="R56" s="1"/>
      <c r="AA56" s="24"/>
      <c r="AB56" s="24"/>
      <c r="AC56" s="24"/>
      <c r="AD56" s="24"/>
    </row>
    <row r="57" spans="2:38" ht="13.8" thickBot="1">
      <c r="AA57" s="24"/>
      <c r="AB57" s="24"/>
      <c r="AC57" s="24"/>
      <c r="AD57" s="24"/>
    </row>
    <row r="58" spans="2:38" ht="14.4" thickTop="1" thickBot="1">
      <c r="B58" s="585" t="s">
        <v>574</v>
      </c>
      <c r="C58" s="585"/>
      <c r="D58" s="585"/>
      <c r="E58" s="585"/>
      <c r="F58" s="585"/>
      <c r="G58" s="585"/>
      <c r="H58" s="585"/>
      <c r="I58" s="585"/>
      <c r="J58" s="585"/>
      <c r="K58" s="696"/>
      <c r="L58" s="696"/>
      <c r="M58" s="697"/>
      <c r="O58" s="595" t="s">
        <v>716</v>
      </c>
      <c r="P58" s="595"/>
      <c r="AA58" s="24"/>
      <c r="AB58" s="24"/>
      <c r="AC58" s="24"/>
      <c r="AD58" s="24"/>
    </row>
    <row r="59" spans="2:38" ht="13.8" thickBot="1">
      <c r="B59" s="586"/>
      <c r="C59" s="586"/>
      <c r="D59" s="586"/>
      <c r="E59" s="586"/>
      <c r="F59" s="586"/>
      <c r="G59" s="586"/>
      <c r="H59" s="586"/>
      <c r="I59" s="586"/>
      <c r="J59" s="586"/>
      <c r="K59" s="698"/>
      <c r="L59" s="698"/>
      <c r="M59" s="699"/>
      <c r="O59" s="195" t="s">
        <v>717</v>
      </c>
      <c r="P59" s="172" t="s">
        <v>641</v>
      </c>
      <c r="X59" s="24"/>
      <c r="Y59" s="24"/>
      <c r="Z59" s="24"/>
      <c r="AA59" s="24"/>
      <c r="AB59" s="24"/>
      <c r="AC59" s="24"/>
      <c r="AD59" s="24"/>
    </row>
    <row r="60" spans="2:38">
      <c r="B60" s="671" t="s">
        <v>69</v>
      </c>
      <c r="C60" s="673" t="s">
        <v>67</v>
      </c>
      <c r="D60" s="733" t="s">
        <v>253</v>
      </c>
      <c r="E60" s="734"/>
      <c r="F60" s="734"/>
      <c r="G60" s="734"/>
      <c r="H60" s="734"/>
      <c r="I60" s="734"/>
      <c r="J60" s="734"/>
      <c r="K60" s="734"/>
      <c r="L60" s="734"/>
      <c r="M60" s="735"/>
      <c r="N60" s="1"/>
      <c r="O60" s="20" t="s">
        <v>642</v>
      </c>
      <c r="P60" s="193" t="s">
        <v>642</v>
      </c>
      <c r="Q60" s="1"/>
      <c r="R60" s="1"/>
    </row>
    <row r="61" spans="2:38">
      <c r="B61" s="731"/>
      <c r="C61" s="732"/>
      <c r="D61" s="543" t="s">
        <v>47</v>
      </c>
      <c r="E61" s="291"/>
      <c r="F61" s="291"/>
      <c r="G61" s="291"/>
      <c r="H61" s="291"/>
      <c r="I61" s="291"/>
      <c r="J61" s="291"/>
      <c r="K61" s="291"/>
      <c r="L61" s="291"/>
      <c r="M61" s="285"/>
      <c r="N61" s="1"/>
      <c r="O61" s="20" t="s">
        <v>718</v>
      </c>
      <c r="P61" s="192" t="s">
        <v>646</v>
      </c>
      <c r="Q61" s="1"/>
      <c r="R61" s="1"/>
      <c r="AG61" s="102"/>
      <c r="AL61" s="1"/>
    </row>
    <row r="62" spans="2:38">
      <c r="B62" s="471" t="s">
        <v>49</v>
      </c>
      <c r="C62" s="544"/>
      <c r="D62" s="83" t="s">
        <v>685</v>
      </c>
      <c r="E62" s="83" t="s">
        <v>686</v>
      </c>
      <c r="F62" s="83" t="s">
        <v>687</v>
      </c>
      <c r="G62" s="83" t="s">
        <v>688</v>
      </c>
      <c r="H62" s="83" t="s">
        <v>689</v>
      </c>
      <c r="I62" s="83" t="s">
        <v>690</v>
      </c>
      <c r="J62" s="83" t="s">
        <v>691</v>
      </c>
      <c r="K62" s="83" t="s">
        <v>692</v>
      </c>
      <c r="L62" s="83" t="s">
        <v>693</v>
      </c>
      <c r="M62" s="112" t="s">
        <v>694</v>
      </c>
      <c r="N62" s="99"/>
      <c r="O62" t="s">
        <v>719</v>
      </c>
      <c r="P62" s="192" t="s">
        <v>646</v>
      </c>
      <c r="Q62" s="99"/>
      <c r="R62" s="99"/>
      <c r="T62" s="39"/>
      <c r="U62" s="39"/>
      <c r="V62" s="22"/>
      <c r="W62" s="1"/>
      <c r="AG62" s="8"/>
      <c r="AL62" s="91"/>
    </row>
    <row r="63" spans="2:38">
      <c r="B63" s="670" t="s">
        <v>41</v>
      </c>
      <c r="C63" s="449"/>
      <c r="D63" s="87">
        <v>0.73</v>
      </c>
      <c r="E63" s="87">
        <v>0.77800000000000002</v>
      </c>
      <c r="F63" s="87">
        <v>0.84499999999999997</v>
      </c>
      <c r="G63" s="87">
        <v>0.84199999999999997</v>
      </c>
      <c r="H63" s="87">
        <v>0.51100000000000001</v>
      </c>
      <c r="I63" s="87">
        <v>0.50600000000000001</v>
      </c>
      <c r="J63" s="87">
        <v>0.83199999999999996</v>
      </c>
      <c r="K63" s="87">
        <v>0.66200000000000003</v>
      </c>
      <c r="L63" s="87">
        <v>0.84599999999999997</v>
      </c>
      <c r="M63" s="88">
        <v>0.65100000000000002</v>
      </c>
      <c r="N63" s="118"/>
      <c r="O63" t="s">
        <v>720</v>
      </c>
      <c r="P63" s="192" t="s">
        <v>644</v>
      </c>
      <c r="Q63" s="118"/>
      <c r="R63" s="118"/>
      <c r="AG63" s="126"/>
      <c r="AK63" s="91"/>
      <c r="AL63" s="91"/>
    </row>
    <row r="64" spans="2:38">
      <c r="B64" s="691" t="s">
        <v>40</v>
      </c>
      <c r="C64" s="449"/>
      <c r="D64" s="3">
        <v>6.8000000000000005E-2</v>
      </c>
      <c r="E64" s="3">
        <v>4.0000000000000001E-3</v>
      </c>
      <c r="F64" s="3">
        <v>3.4000000000000002E-2</v>
      </c>
      <c r="G64" s="3">
        <v>0.02</v>
      </c>
      <c r="H64" s="3">
        <v>7.6999999999999999E-2</v>
      </c>
      <c r="I64" s="3">
        <v>4.0000000000000001E-3</v>
      </c>
      <c r="J64" s="3">
        <v>0.02</v>
      </c>
      <c r="K64" s="3">
        <v>7.0000000000000001E-3</v>
      </c>
      <c r="L64" s="3">
        <v>2.1000000000000001E-2</v>
      </c>
      <c r="M64" s="41">
        <v>4.0000000000000001E-3</v>
      </c>
      <c r="N64" s="24"/>
      <c r="O64" t="s">
        <v>721</v>
      </c>
      <c r="P64" s="192" t="s">
        <v>645</v>
      </c>
      <c r="AG64" s="126"/>
    </row>
    <row r="65" spans="2:44">
      <c r="B65" s="691" t="s">
        <v>39</v>
      </c>
      <c r="C65" s="449"/>
      <c r="D65" s="3">
        <v>8.5000000000000006E-2</v>
      </c>
      <c r="E65" s="3">
        <v>7.9000000000000001E-2</v>
      </c>
      <c r="F65" s="3">
        <v>6.9000000000000006E-2</v>
      </c>
      <c r="G65" s="3">
        <v>0.02</v>
      </c>
      <c r="H65" s="3">
        <v>0.18099999999999999</v>
      </c>
      <c r="I65" s="3">
        <v>0.13</v>
      </c>
      <c r="J65" s="3">
        <v>0.04</v>
      </c>
      <c r="K65" s="3">
        <v>3.5999999999999997E-2</v>
      </c>
      <c r="L65" s="3">
        <v>0.05</v>
      </c>
      <c r="M65" s="41">
        <v>5.8999999999999997E-2</v>
      </c>
      <c r="N65" s="24"/>
      <c r="O65" t="s">
        <v>722</v>
      </c>
      <c r="P65" s="192" t="s">
        <v>643</v>
      </c>
      <c r="AG65" s="1"/>
      <c r="AK65" s="5"/>
      <c r="AL65" s="5"/>
      <c r="AM65" s="5"/>
      <c r="AN65" s="5"/>
      <c r="AO65" s="5"/>
      <c r="AP65" s="5"/>
      <c r="AQ65" s="5"/>
      <c r="AR65" s="5"/>
    </row>
    <row r="66" spans="2:44">
      <c r="B66" s="691" t="s">
        <v>251</v>
      </c>
      <c r="C66" s="449"/>
      <c r="D66" s="3">
        <v>1.4999999999999999E-2</v>
      </c>
      <c r="E66" s="3">
        <v>3.1E-2</v>
      </c>
      <c r="F66" s="3">
        <v>1E-3</v>
      </c>
      <c r="G66" s="3">
        <v>7.8E-2</v>
      </c>
      <c r="H66" s="3">
        <v>9.2999999999999999E-2</v>
      </c>
      <c r="I66" s="3">
        <v>0.249</v>
      </c>
      <c r="J66" s="3">
        <v>0.05</v>
      </c>
      <c r="K66" s="3">
        <v>0.223</v>
      </c>
      <c r="L66" s="3">
        <v>6.0999999999999999E-2</v>
      </c>
      <c r="M66" s="41">
        <v>0.248</v>
      </c>
      <c r="N66" s="24"/>
      <c r="O66" t="s">
        <v>723</v>
      </c>
      <c r="P66" s="192" t="s">
        <v>644</v>
      </c>
      <c r="AG66" s="24"/>
      <c r="AK66" s="1"/>
      <c r="AL66" s="1"/>
      <c r="AM66" s="1"/>
      <c r="AN66" s="1"/>
      <c r="AO66" s="5"/>
      <c r="AP66" s="1"/>
      <c r="AQ66" s="1"/>
      <c r="AR66" s="1"/>
    </row>
    <row r="67" spans="2:44">
      <c r="B67" s="691" t="s">
        <v>252</v>
      </c>
      <c r="C67" s="449"/>
      <c r="D67" s="3">
        <v>7.2999999999999995E-2</v>
      </c>
      <c r="E67" s="3">
        <v>5.5E-2</v>
      </c>
      <c r="F67" s="3">
        <v>1.7000000000000001E-2</v>
      </c>
      <c r="G67" s="3">
        <v>0.02</v>
      </c>
      <c r="H67" s="3">
        <v>8.2000000000000003E-2</v>
      </c>
      <c r="I67" s="3">
        <v>3.1E-2</v>
      </c>
      <c r="J67" s="3">
        <v>0.01</v>
      </c>
      <c r="K67" s="3">
        <v>1E-3</v>
      </c>
      <c r="L67" s="3">
        <v>4.0000000000000001E-3</v>
      </c>
      <c r="M67" s="41">
        <v>8.9999999999999993E-3</v>
      </c>
      <c r="N67" s="24"/>
      <c r="O67" t="s">
        <v>724</v>
      </c>
      <c r="P67" s="192" t="s">
        <v>643</v>
      </c>
      <c r="AG67" s="24"/>
      <c r="AK67" s="5"/>
      <c r="AL67" s="5"/>
      <c r="AM67" s="5"/>
      <c r="AO67" s="5"/>
      <c r="AP67" s="5"/>
      <c r="AQ67" s="5"/>
      <c r="AR67" s="5"/>
    </row>
    <row r="68" spans="2:44">
      <c r="B68" s="691" t="s">
        <v>255</v>
      </c>
      <c r="C68" s="336"/>
      <c r="D68" s="3">
        <v>2.9000000000000001E-2</v>
      </c>
      <c r="E68" s="3">
        <v>5.2999999999999999E-2</v>
      </c>
      <c r="F68" s="3">
        <v>3.4000000000000002E-2</v>
      </c>
      <c r="G68" s="3">
        <v>0.02</v>
      </c>
      <c r="H68" s="3">
        <v>5.6000000000000001E-2</v>
      </c>
      <c r="I68" s="3">
        <v>0.08</v>
      </c>
      <c r="J68" s="3">
        <v>4.8000000000000001E-2</v>
      </c>
      <c r="K68" s="3">
        <v>7.0999999999999994E-2</v>
      </c>
      <c r="L68" s="3">
        <v>1.7999999999999999E-2</v>
      </c>
      <c r="M68" s="41">
        <v>2.9000000000000001E-2</v>
      </c>
      <c r="N68" s="24"/>
      <c r="O68" t="s">
        <v>725</v>
      </c>
      <c r="P68" s="192" t="s">
        <v>646</v>
      </c>
      <c r="AG68" s="24"/>
      <c r="AI68" s="5"/>
      <c r="AJ68" s="5"/>
      <c r="AK68" s="5"/>
      <c r="AL68" s="5"/>
      <c r="AM68" s="5"/>
      <c r="AO68" s="5"/>
      <c r="AP68" s="5"/>
      <c r="AQ68" s="5"/>
      <c r="AR68" s="5"/>
    </row>
    <row r="69" spans="2:44">
      <c r="B69" s="113" t="s">
        <v>254</v>
      </c>
      <c r="C69" s="114"/>
      <c r="D69" s="43"/>
      <c r="E69" s="43"/>
      <c r="F69" s="43"/>
      <c r="G69" s="43"/>
      <c r="H69" s="43"/>
      <c r="I69" s="43"/>
      <c r="J69" s="43"/>
      <c r="K69" s="43"/>
      <c r="L69" s="43"/>
      <c r="M69" s="110"/>
      <c r="O69" t="s">
        <v>726</v>
      </c>
      <c r="P69" s="192" t="s">
        <v>645</v>
      </c>
      <c r="AG69" s="24"/>
      <c r="AI69" s="5"/>
      <c r="AJ69" s="5"/>
      <c r="AK69" s="5"/>
      <c r="AL69" s="5"/>
      <c r="AM69" s="8"/>
      <c r="AO69" s="5"/>
      <c r="AP69" s="5"/>
      <c r="AQ69" s="5"/>
      <c r="AR69" s="5"/>
    </row>
    <row r="70" spans="2:44">
      <c r="B70" s="655" t="s">
        <v>49</v>
      </c>
      <c r="C70" s="656"/>
      <c r="D70" s="543" t="s">
        <v>48</v>
      </c>
      <c r="E70" s="291"/>
      <c r="F70" s="291"/>
      <c r="G70" s="291"/>
      <c r="H70" s="291"/>
      <c r="I70" s="291"/>
      <c r="J70" s="291"/>
      <c r="K70" s="291"/>
      <c r="L70" s="291"/>
      <c r="M70" s="285"/>
      <c r="N70" s="1"/>
      <c r="O70" t="s">
        <v>727</v>
      </c>
      <c r="P70" s="192" t="s">
        <v>644</v>
      </c>
      <c r="AG70" s="24"/>
      <c r="AH70" s="9"/>
      <c r="AI70" s="1"/>
      <c r="AJ70" s="1"/>
      <c r="AK70" s="1"/>
      <c r="AL70" s="9"/>
      <c r="AM70" s="6"/>
      <c r="AO70" s="1"/>
      <c r="AP70" s="1"/>
      <c r="AQ70" s="1"/>
      <c r="AR70" s="9"/>
    </row>
    <row r="71" spans="2:44">
      <c r="B71" s="596"/>
      <c r="C71" s="657"/>
      <c r="D71" s="83" t="s">
        <v>685</v>
      </c>
      <c r="E71" s="83" t="s">
        <v>686</v>
      </c>
      <c r="F71" s="83" t="s">
        <v>687</v>
      </c>
      <c r="G71" s="83" t="s">
        <v>688</v>
      </c>
      <c r="H71" s="83" t="s">
        <v>689</v>
      </c>
      <c r="I71" s="83" t="s">
        <v>690</v>
      </c>
      <c r="J71" s="83" t="s">
        <v>691</v>
      </c>
      <c r="K71" s="83" t="s">
        <v>692</v>
      </c>
      <c r="L71" s="83" t="s">
        <v>693</v>
      </c>
      <c r="M71" s="112" t="s">
        <v>694</v>
      </c>
      <c r="N71" s="99"/>
      <c r="O71" t="s">
        <v>728</v>
      </c>
      <c r="P71" s="192" t="s">
        <v>646</v>
      </c>
    </row>
    <row r="72" spans="2:44">
      <c r="B72" s="670" t="s">
        <v>41</v>
      </c>
      <c r="C72" s="449"/>
      <c r="D72" s="249">
        <v>0.32899999999999996</v>
      </c>
      <c r="E72" s="249">
        <v>0.38100000000000001</v>
      </c>
      <c r="F72" s="249">
        <v>0.39399999999999996</v>
      </c>
      <c r="G72" s="249">
        <v>0.36599999999999999</v>
      </c>
      <c r="H72" s="249">
        <v>0.45700000000000002</v>
      </c>
      <c r="I72" s="249">
        <v>0.39600000000000002</v>
      </c>
      <c r="J72" s="249">
        <v>0.45700000000000002</v>
      </c>
      <c r="K72" s="249">
        <v>0.39200000000000002</v>
      </c>
      <c r="L72" s="249">
        <v>0.41200000000000003</v>
      </c>
      <c r="M72" s="250">
        <v>0.39100000000000001</v>
      </c>
      <c r="N72" s="119"/>
      <c r="O72" t="s">
        <v>729</v>
      </c>
      <c r="P72" s="192" t="s">
        <v>644</v>
      </c>
    </row>
    <row r="73" spans="2:44">
      <c r="B73" s="691" t="s">
        <v>40</v>
      </c>
      <c r="C73" s="449"/>
      <c r="D73" s="249">
        <v>0.153</v>
      </c>
      <c r="E73" s="249">
        <v>7.9000000000000001E-2</v>
      </c>
      <c r="F73" s="249">
        <v>0.14899999999999999</v>
      </c>
      <c r="G73" s="249">
        <v>2.5000000000000001E-2</v>
      </c>
      <c r="H73" s="249">
        <v>3.2000000000000001E-2</v>
      </c>
      <c r="I73" s="249">
        <v>1.1000000000000001E-2</v>
      </c>
      <c r="J73" s="249">
        <v>0.08</v>
      </c>
      <c r="K73" s="249">
        <v>1.7000000000000001E-2</v>
      </c>
      <c r="L73" s="249">
        <v>9.8000000000000004E-2</v>
      </c>
      <c r="M73" s="250">
        <v>2.4E-2</v>
      </c>
      <c r="N73" s="119"/>
      <c r="O73" s="196" t="s">
        <v>730</v>
      </c>
      <c r="P73" s="197" t="s">
        <v>643</v>
      </c>
    </row>
    <row r="74" spans="2:44">
      <c r="B74" s="691" t="s">
        <v>39</v>
      </c>
      <c r="C74" s="449"/>
      <c r="D74" s="249">
        <v>0</v>
      </c>
      <c r="E74" s="249">
        <v>1.9E-2</v>
      </c>
      <c r="F74" s="249">
        <v>0</v>
      </c>
      <c r="G74" s="249">
        <v>0</v>
      </c>
      <c r="H74" s="249">
        <v>2.8999999999999998E-2</v>
      </c>
      <c r="I74" s="249">
        <v>1.7000000000000001E-2</v>
      </c>
      <c r="J74" s="249">
        <v>6.0000000000000001E-3</v>
      </c>
      <c r="K74" s="249">
        <v>8.0000000000000002E-3</v>
      </c>
      <c r="L74" s="249">
        <v>1.2E-2</v>
      </c>
      <c r="M74" s="250">
        <v>1.3000000000000001E-2</v>
      </c>
      <c r="N74" s="119"/>
      <c r="O74" t="s">
        <v>731</v>
      </c>
      <c r="P74" s="192" t="s">
        <v>645</v>
      </c>
    </row>
    <row r="75" spans="2:44">
      <c r="B75" s="691" t="s">
        <v>93</v>
      </c>
      <c r="C75" s="448"/>
      <c r="D75" s="251">
        <v>3.5000000000000003E-2</v>
      </c>
      <c r="E75" s="251">
        <v>0.13500000000000001</v>
      </c>
      <c r="F75" s="251">
        <v>6.4000000000000001E-2</v>
      </c>
      <c r="G75" s="251">
        <v>9.3000000000000013E-2</v>
      </c>
      <c r="H75" s="251">
        <v>0.13600000000000001</v>
      </c>
      <c r="I75" s="251">
        <v>0.27699999999999997</v>
      </c>
      <c r="J75" s="251">
        <v>0.11800000000000001</v>
      </c>
      <c r="K75" s="251">
        <v>0.29899999999999999</v>
      </c>
      <c r="L75" s="251">
        <v>0.114</v>
      </c>
      <c r="M75" s="248">
        <v>0.223</v>
      </c>
      <c r="N75" s="36"/>
      <c r="O75" t="s">
        <v>732</v>
      </c>
      <c r="P75" s="192" t="s">
        <v>646</v>
      </c>
    </row>
    <row r="76" spans="2:44" ht="13.8" thickBot="1">
      <c r="B76" s="730" t="s">
        <v>255</v>
      </c>
      <c r="C76" s="440"/>
      <c r="D76" s="252">
        <v>0.48200000000000004</v>
      </c>
      <c r="E76" s="252">
        <v>0.38600000000000001</v>
      </c>
      <c r="F76" s="252">
        <v>0.39399999999999996</v>
      </c>
      <c r="G76" s="252">
        <v>0.51600000000000001</v>
      </c>
      <c r="H76" s="252">
        <v>0.34600000000000003</v>
      </c>
      <c r="I76" s="252">
        <v>0.29899999999999999</v>
      </c>
      <c r="J76" s="252">
        <v>0.33899999999999997</v>
      </c>
      <c r="K76" s="252">
        <v>0.28499999999999998</v>
      </c>
      <c r="L76" s="252">
        <v>0.36299999999999999</v>
      </c>
      <c r="M76" s="253">
        <v>0.35</v>
      </c>
      <c r="N76" s="36"/>
      <c r="O76" t="s">
        <v>733</v>
      </c>
      <c r="P76" s="192" t="s">
        <v>643</v>
      </c>
    </row>
    <row r="77" spans="2:44">
      <c r="B77" s="59" t="s">
        <v>573</v>
      </c>
      <c r="O77" t="s">
        <v>734</v>
      </c>
      <c r="P77" s="192" t="s">
        <v>646</v>
      </c>
    </row>
    <row r="78" spans="2:44">
      <c r="O78" t="s">
        <v>735</v>
      </c>
      <c r="P78" s="192" t="s">
        <v>644</v>
      </c>
    </row>
    <row r="79" spans="2:44" ht="13.8" thickBot="1">
      <c r="O79" t="s">
        <v>736</v>
      </c>
      <c r="P79" s="192" t="s">
        <v>645</v>
      </c>
      <c r="V79" s="22"/>
    </row>
    <row r="80" spans="2:44" ht="13.8" thickTop="1">
      <c r="B80" s="585" t="s">
        <v>576</v>
      </c>
      <c r="C80" s="585"/>
      <c r="D80" s="585"/>
      <c r="E80" s="585"/>
      <c r="F80" s="585"/>
      <c r="G80" s="585"/>
      <c r="H80" s="585"/>
      <c r="I80" s="585"/>
      <c r="J80" s="585"/>
      <c r="K80" s="696"/>
      <c r="L80" s="696"/>
      <c r="M80" s="697"/>
      <c r="O80" t="s">
        <v>737</v>
      </c>
      <c r="P80" s="192" t="s">
        <v>646</v>
      </c>
    </row>
    <row r="81" spans="2:18" ht="13.8" thickBot="1">
      <c r="B81" s="586"/>
      <c r="C81" s="586"/>
      <c r="D81" s="586"/>
      <c r="E81" s="586"/>
      <c r="F81" s="586"/>
      <c r="G81" s="586"/>
      <c r="H81" s="586"/>
      <c r="I81" s="586"/>
      <c r="J81" s="586"/>
      <c r="K81" s="698"/>
      <c r="L81" s="698"/>
      <c r="M81" s="699"/>
      <c r="O81" t="s">
        <v>738</v>
      </c>
      <c r="P81" s="192" t="s">
        <v>645</v>
      </c>
    </row>
    <row r="82" spans="2:18">
      <c r="B82" s="671" t="s">
        <v>69</v>
      </c>
      <c r="C82" s="673" t="s">
        <v>67</v>
      </c>
      <c r="D82" s="733" t="s">
        <v>253</v>
      </c>
      <c r="E82" s="734"/>
      <c r="F82" s="734"/>
      <c r="G82" s="734"/>
      <c r="H82" s="734"/>
      <c r="I82" s="734"/>
      <c r="J82" s="734"/>
      <c r="K82" s="734"/>
      <c r="L82" s="734"/>
      <c r="M82" s="735"/>
      <c r="N82" s="1"/>
      <c r="O82" t="s">
        <v>739</v>
      </c>
      <c r="P82" s="192" t="s">
        <v>644</v>
      </c>
      <c r="Q82" s="1"/>
      <c r="R82" s="1"/>
    </row>
    <row r="83" spans="2:18">
      <c r="B83" s="731"/>
      <c r="C83" s="732"/>
      <c r="D83" s="543" t="s">
        <v>47</v>
      </c>
      <c r="E83" s="291"/>
      <c r="F83" s="291"/>
      <c r="G83" s="291"/>
      <c r="H83" s="291"/>
      <c r="I83" s="291"/>
      <c r="J83" s="291"/>
      <c r="K83" s="291"/>
      <c r="L83" s="291"/>
      <c r="M83" s="285"/>
      <c r="N83" s="1"/>
      <c r="O83" t="s">
        <v>740</v>
      </c>
      <c r="P83" s="192" t="s">
        <v>644</v>
      </c>
      <c r="Q83" s="1"/>
      <c r="R83" s="1"/>
    </row>
    <row r="84" spans="2:18">
      <c r="B84" s="471" t="s">
        <v>49</v>
      </c>
      <c r="C84" s="544"/>
      <c r="D84" s="83" t="s">
        <v>685</v>
      </c>
      <c r="E84" s="83" t="s">
        <v>686</v>
      </c>
      <c r="F84" s="83" t="s">
        <v>687</v>
      </c>
      <c r="G84" s="83" t="s">
        <v>688</v>
      </c>
      <c r="H84" s="83" t="s">
        <v>689</v>
      </c>
      <c r="I84" s="83" t="s">
        <v>690</v>
      </c>
      <c r="J84" s="83" t="s">
        <v>691</v>
      </c>
      <c r="K84" s="83" t="s">
        <v>692</v>
      </c>
      <c r="L84" s="83" t="s">
        <v>693</v>
      </c>
      <c r="M84" s="112" t="s">
        <v>694</v>
      </c>
      <c r="N84" s="99"/>
      <c r="O84" t="s">
        <v>741</v>
      </c>
      <c r="P84" s="192" t="s">
        <v>644</v>
      </c>
      <c r="Q84" s="99"/>
      <c r="R84" s="99"/>
    </row>
    <row r="85" spans="2:18" ht="13.8" thickBot="1">
      <c r="B85" s="670" t="s">
        <v>262</v>
      </c>
      <c r="C85" s="326"/>
      <c r="D85" s="87">
        <v>2.5999999999999999E-2</v>
      </c>
      <c r="E85" s="87">
        <v>6.6000000000000003E-2</v>
      </c>
      <c r="F85" s="87">
        <v>1E-3</v>
      </c>
      <c r="G85" s="87">
        <v>1E-3</v>
      </c>
      <c r="H85" s="87">
        <v>1E-3</v>
      </c>
      <c r="I85" s="87">
        <v>1E-3</v>
      </c>
      <c r="J85" s="87">
        <v>1E-3</v>
      </c>
      <c r="K85" s="87">
        <v>6.3E-2</v>
      </c>
      <c r="L85" s="87">
        <v>1.6E-2</v>
      </c>
      <c r="M85" s="88">
        <v>4.9000000000000002E-2</v>
      </c>
      <c r="N85" s="118"/>
      <c r="O85" s="194" t="s">
        <v>742</v>
      </c>
      <c r="P85" s="198" t="s">
        <v>645</v>
      </c>
      <c r="Q85" s="118"/>
      <c r="R85" s="118"/>
    </row>
    <row r="86" spans="2:18">
      <c r="B86" s="691" t="s">
        <v>263</v>
      </c>
      <c r="C86" s="333"/>
      <c r="D86" s="3">
        <v>0.72299999999999998</v>
      </c>
      <c r="E86" s="3">
        <v>0.75900000000000001</v>
      </c>
      <c r="F86" s="3">
        <v>0.68799999999999994</v>
      </c>
      <c r="G86" s="3">
        <v>0.96299999999999997</v>
      </c>
      <c r="H86" s="3">
        <v>0.61199999999999999</v>
      </c>
      <c r="I86" s="3">
        <v>0.80900000000000005</v>
      </c>
      <c r="J86" s="3">
        <v>0.5</v>
      </c>
      <c r="K86" s="3">
        <v>0.81299999999999994</v>
      </c>
      <c r="L86" s="3">
        <v>0.39800000000000002</v>
      </c>
      <c r="M86" s="41">
        <v>0.76800000000000002</v>
      </c>
      <c r="N86" s="24"/>
      <c r="O86" s="24"/>
      <c r="P86" s="24"/>
      <c r="Q86" s="24"/>
      <c r="R86" s="24"/>
    </row>
    <row r="87" spans="2:18" ht="13.8" thickBot="1">
      <c r="B87" s="691" t="s">
        <v>264</v>
      </c>
      <c r="C87" s="333"/>
      <c r="D87" s="3">
        <v>0.01</v>
      </c>
      <c r="E87" s="3">
        <v>1.2999999999999999E-2</v>
      </c>
      <c r="F87" s="3">
        <v>1E-3</v>
      </c>
      <c r="G87" s="3">
        <v>1E-3</v>
      </c>
      <c r="H87" s="3">
        <v>0.02</v>
      </c>
      <c r="I87" s="3">
        <v>2.9000000000000001E-2</v>
      </c>
      <c r="J87" s="3">
        <v>2.8000000000000001E-2</v>
      </c>
      <c r="K87" s="3">
        <v>1.6E-2</v>
      </c>
      <c r="L87" s="3">
        <v>5.0000000000000001E-3</v>
      </c>
      <c r="M87" s="41">
        <v>6.0999999999999999E-2</v>
      </c>
      <c r="N87" s="24"/>
      <c r="O87" s="24"/>
      <c r="P87" s="24"/>
      <c r="Q87" s="24"/>
      <c r="R87" s="24"/>
    </row>
    <row r="88" spans="2:18" ht="14.4" thickTop="1" thickBot="1">
      <c r="B88" s="86" t="s">
        <v>265</v>
      </c>
      <c r="C88" s="86"/>
      <c r="D88" s="37">
        <v>0.24099999999999999</v>
      </c>
      <c r="E88" s="37">
        <v>0.16200000000000001</v>
      </c>
      <c r="F88" s="37">
        <v>0.31</v>
      </c>
      <c r="G88" s="37">
        <v>3.5000000000000003E-2</v>
      </c>
      <c r="H88" s="37">
        <v>0.36699999999999999</v>
      </c>
      <c r="I88" s="37">
        <v>0.161</v>
      </c>
      <c r="J88" s="37">
        <v>0.47099999999999997</v>
      </c>
      <c r="K88" s="37">
        <v>0.108</v>
      </c>
      <c r="L88" s="37">
        <v>0.58099999999999996</v>
      </c>
      <c r="M88" s="85">
        <v>0.122</v>
      </c>
      <c r="N88" s="24"/>
      <c r="O88" s="595" t="s">
        <v>745</v>
      </c>
      <c r="P88" s="595"/>
      <c r="Q88" s="24"/>
      <c r="R88" s="24"/>
    </row>
    <row r="89" spans="2:18">
      <c r="B89" s="113" t="s">
        <v>254</v>
      </c>
      <c r="C89" s="82"/>
      <c r="D89" s="97"/>
      <c r="E89" s="97"/>
      <c r="F89" s="97"/>
      <c r="G89" s="97"/>
      <c r="H89" s="97"/>
      <c r="I89" s="97"/>
      <c r="J89" s="97"/>
      <c r="K89" s="97"/>
      <c r="L89" s="97"/>
      <c r="M89" s="98"/>
      <c r="N89" s="24"/>
      <c r="O89" s="195" t="s">
        <v>746</v>
      </c>
      <c r="P89" s="172" t="s">
        <v>747</v>
      </c>
      <c r="Q89" s="24"/>
      <c r="R89" s="24"/>
    </row>
    <row r="90" spans="2:18">
      <c r="B90" s="655" t="s">
        <v>49</v>
      </c>
      <c r="C90" s="656"/>
      <c r="D90" s="543" t="s">
        <v>48</v>
      </c>
      <c r="E90" s="291"/>
      <c r="F90" s="291"/>
      <c r="G90" s="291"/>
      <c r="H90" s="291"/>
      <c r="I90" s="291"/>
      <c r="J90" s="291"/>
      <c r="K90" s="291"/>
      <c r="L90" s="291"/>
      <c r="M90" s="285"/>
      <c r="N90" s="5"/>
      <c r="O90" s="21" t="s">
        <v>181</v>
      </c>
      <c r="P90" s="277">
        <v>0.77396838431533566</v>
      </c>
      <c r="Q90" s="5"/>
      <c r="R90" s="5"/>
    </row>
    <row r="91" spans="2:18">
      <c r="B91" s="596"/>
      <c r="C91" s="657"/>
      <c r="D91" s="83" t="s">
        <v>685</v>
      </c>
      <c r="E91" s="83" t="s">
        <v>686</v>
      </c>
      <c r="F91" s="83" t="s">
        <v>687</v>
      </c>
      <c r="G91" s="83" t="s">
        <v>688</v>
      </c>
      <c r="H91" s="83" t="s">
        <v>689</v>
      </c>
      <c r="I91" s="83" t="s">
        <v>690</v>
      </c>
      <c r="J91" s="83" t="s">
        <v>691</v>
      </c>
      <c r="K91" s="83" t="s">
        <v>692</v>
      </c>
      <c r="L91" s="83" t="s">
        <v>693</v>
      </c>
      <c r="M91" s="112" t="s">
        <v>694</v>
      </c>
      <c r="N91" s="99"/>
      <c r="O91" s="1" t="s">
        <v>180</v>
      </c>
      <c r="P91" s="258">
        <v>0.64665030980995553</v>
      </c>
      <c r="Q91" s="99"/>
      <c r="R91" s="99"/>
    </row>
    <row r="92" spans="2:18">
      <c r="B92" s="670" t="s">
        <v>262</v>
      </c>
      <c r="C92" s="336"/>
      <c r="D92" s="249">
        <v>2.3E-2</v>
      </c>
      <c r="E92" s="249">
        <v>0.17</v>
      </c>
      <c r="F92" s="249">
        <v>5.2999999999999999E-2</v>
      </c>
      <c r="G92" s="249">
        <v>6.5000000000000002E-2</v>
      </c>
      <c r="H92" s="249">
        <v>3.7000000000000005E-2</v>
      </c>
      <c r="I92" s="249">
        <v>0.154</v>
      </c>
      <c r="J92" s="249">
        <v>0</v>
      </c>
      <c r="K92" s="249">
        <v>0.10099999999999999</v>
      </c>
      <c r="L92" s="249">
        <v>4.8000000000000001E-2</v>
      </c>
      <c r="M92" s="250">
        <v>0.159</v>
      </c>
      <c r="N92" s="119"/>
      <c r="O92" s="1" t="s">
        <v>104</v>
      </c>
      <c r="P92" s="258">
        <v>1.2709450109884999</v>
      </c>
      <c r="Q92" s="119"/>
      <c r="R92" s="119"/>
    </row>
    <row r="93" spans="2:18">
      <c r="B93" s="691" t="s">
        <v>263</v>
      </c>
      <c r="C93" s="336"/>
      <c r="D93" s="251">
        <v>0.64</v>
      </c>
      <c r="E93" s="251">
        <v>0.56999999999999995</v>
      </c>
      <c r="F93" s="251">
        <v>0.44700000000000001</v>
      </c>
      <c r="G93" s="251">
        <v>0.71400000000000008</v>
      </c>
      <c r="H93" s="251">
        <v>0.57899999999999996</v>
      </c>
      <c r="I93" s="251">
        <v>0.68</v>
      </c>
      <c r="J93" s="251">
        <v>0.49200000000000005</v>
      </c>
      <c r="K93" s="251">
        <v>0.70499999999999996</v>
      </c>
      <c r="L93" s="251">
        <v>0.53799999999999992</v>
      </c>
      <c r="M93" s="248">
        <v>0.67700000000000005</v>
      </c>
      <c r="N93" s="36"/>
      <c r="O93" s="1" t="s">
        <v>101</v>
      </c>
      <c r="P93" s="258">
        <v>0.97949714850336689</v>
      </c>
      <c r="Q93" s="36"/>
      <c r="R93" s="36"/>
    </row>
    <row r="94" spans="2:18" ht="13.8" thickBot="1">
      <c r="B94" s="691" t="s">
        <v>264</v>
      </c>
      <c r="C94" s="336"/>
      <c r="D94" s="251">
        <v>0</v>
      </c>
      <c r="E94" s="251">
        <v>3.7000000000000005E-2</v>
      </c>
      <c r="F94" s="251">
        <v>0</v>
      </c>
      <c r="G94" s="251">
        <v>3.9E-2</v>
      </c>
      <c r="H94" s="251">
        <v>2.4E-2</v>
      </c>
      <c r="I94" s="251">
        <v>4.2999999999999997E-2</v>
      </c>
      <c r="J94" s="251">
        <v>1.7000000000000001E-2</v>
      </c>
      <c r="K94" s="251">
        <v>2.4E-2</v>
      </c>
      <c r="L94" s="251">
        <v>2.1000000000000001E-2</v>
      </c>
      <c r="M94" s="248">
        <v>5.5E-2</v>
      </c>
      <c r="N94" s="36"/>
      <c r="O94" s="164" t="s">
        <v>195</v>
      </c>
      <c r="P94" s="257">
        <v>0.5067705860200088</v>
      </c>
      <c r="Q94" s="36"/>
      <c r="R94" s="36"/>
    </row>
    <row r="95" spans="2:18" ht="13.8" thickBot="1">
      <c r="B95" s="730" t="s">
        <v>265</v>
      </c>
      <c r="C95" s="439"/>
      <c r="D95" s="252">
        <v>0.33700000000000002</v>
      </c>
      <c r="E95" s="252">
        <v>0.222</v>
      </c>
      <c r="F95" s="252">
        <v>0.5</v>
      </c>
      <c r="G95" s="252">
        <v>0.182</v>
      </c>
      <c r="H95" s="252">
        <v>0.36</v>
      </c>
      <c r="I95" s="252">
        <v>0.12300000000000001</v>
      </c>
      <c r="J95" s="252">
        <v>0.49200000000000005</v>
      </c>
      <c r="K95" s="252">
        <v>0.16899999999999998</v>
      </c>
      <c r="L95" s="252">
        <v>0.39299999999999996</v>
      </c>
      <c r="M95" s="253">
        <v>0.109</v>
      </c>
      <c r="N95" s="36"/>
      <c r="O95" s="36"/>
      <c r="P95" s="36"/>
      <c r="Q95" s="36"/>
      <c r="R95" s="36"/>
    </row>
    <row r="96" spans="2:18">
      <c r="B96" s="42"/>
    </row>
    <row r="97" spans="2:18">
      <c r="B97" s="42"/>
    </row>
    <row r="98" spans="2:18" ht="13.8" thickBot="1">
      <c r="B98" s="42"/>
    </row>
    <row r="99" spans="2:18" ht="13.8" thickTop="1">
      <c r="B99" s="585" t="s">
        <v>578</v>
      </c>
      <c r="C99" s="668"/>
      <c r="D99" s="668"/>
      <c r="E99" s="668"/>
      <c r="F99" s="668"/>
      <c r="G99" s="668"/>
      <c r="H99" s="668"/>
      <c r="I99" s="668"/>
      <c r="J99" s="668"/>
      <c r="K99" s="668"/>
      <c r="L99" s="116"/>
    </row>
    <row r="100" spans="2:18" ht="13.8" thickBot="1">
      <c r="B100" s="669"/>
      <c r="C100" s="669"/>
      <c r="D100" s="669"/>
      <c r="E100" s="669"/>
      <c r="F100" s="669"/>
      <c r="G100" s="669"/>
      <c r="H100" s="669"/>
      <c r="I100" s="669"/>
      <c r="J100" s="669"/>
      <c r="K100" s="669"/>
      <c r="L100" s="116"/>
    </row>
    <row r="101" spans="2:18" ht="15.6">
      <c r="B101" s="671" t="s">
        <v>69</v>
      </c>
      <c r="C101" s="673" t="s">
        <v>67</v>
      </c>
      <c r="D101" s="569" t="s">
        <v>344</v>
      </c>
      <c r="E101" s="350"/>
      <c r="F101" s="350"/>
      <c r="G101" s="350"/>
      <c r="H101" s="350"/>
      <c r="I101" s="350"/>
      <c r="J101" s="350"/>
      <c r="K101" s="665"/>
      <c r="L101" s="1"/>
      <c r="M101" s="1"/>
      <c r="N101" s="1"/>
      <c r="O101" s="1"/>
      <c r="P101" s="1"/>
      <c r="Q101" s="1"/>
      <c r="R101" s="1"/>
    </row>
    <row r="102" spans="2:18">
      <c r="B102" s="672"/>
      <c r="C102" s="674"/>
      <c r="D102" s="403" t="s">
        <v>47</v>
      </c>
      <c r="E102" s="352"/>
      <c r="F102" s="352"/>
      <c r="G102" s="352"/>
      <c r="H102" s="543" t="s">
        <v>48</v>
      </c>
      <c r="I102" s="291"/>
      <c r="J102" s="291"/>
      <c r="K102" s="285"/>
      <c r="L102" s="1"/>
      <c r="M102" s="1"/>
      <c r="N102" s="1"/>
      <c r="O102" s="1"/>
      <c r="P102" s="1"/>
      <c r="Q102" s="1"/>
      <c r="R102" s="1"/>
    </row>
    <row r="103" spans="2:18">
      <c r="B103" s="719" t="s">
        <v>235</v>
      </c>
      <c r="C103" s="334"/>
      <c r="D103" s="543" t="s">
        <v>670</v>
      </c>
      <c r="E103" s="543"/>
      <c r="F103" s="543" t="s">
        <v>671</v>
      </c>
      <c r="G103" s="543"/>
      <c r="H103" s="543" t="s">
        <v>670</v>
      </c>
      <c r="I103" s="543"/>
      <c r="J103" s="543" t="s">
        <v>671</v>
      </c>
      <c r="K103" s="472"/>
      <c r="L103" s="1"/>
      <c r="M103" s="1"/>
      <c r="N103" s="1"/>
      <c r="O103" s="1"/>
      <c r="P103" s="1"/>
      <c r="Q103" s="1"/>
      <c r="R103" s="1"/>
    </row>
    <row r="104" spans="2:18">
      <c r="B104" s="617" t="s">
        <v>181</v>
      </c>
      <c r="C104" s="290"/>
      <c r="D104" s="285">
        <v>3.5999999999999997E-2</v>
      </c>
      <c r="E104" s="286"/>
      <c r="F104" s="285">
        <v>5.0000000000000001E-3</v>
      </c>
      <c r="G104" s="286"/>
      <c r="H104" s="618">
        <v>1.0999999999999999E-2</v>
      </c>
      <c r="I104" s="619"/>
      <c r="J104" s="618">
        <v>5.0000000000000001E-3</v>
      </c>
      <c r="K104" s="620"/>
      <c r="L104" s="24"/>
      <c r="M104" s="24"/>
      <c r="N104" s="24"/>
      <c r="O104" s="24"/>
      <c r="P104" s="24"/>
      <c r="Q104" s="24"/>
      <c r="R104" s="24"/>
    </row>
    <row r="105" spans="2:18">
      <c r="B105" s="617" t="s">
        <v>180</v>
      </c>
      <c r="C105" s="290"/>
      <c r="D105" s="285">
        <v>4.1000000000000002E-2</v>
      </c>
      <c r="E105" s="286"/>
      <c r="F105" s="295">
        <v>1.2999999999999999E-2</v>
      </c>
      <c r="G105" s="296"/>
      <c r="H105" s="618">
        <v>0.02</v>
      </c>
      <c r="I105" s="619"/>
      <c r="J105" s="618">
        <v>4.1000000000000002E-2</v>
      </c>
      <c r="K105" s="620"/>
      <c r="L105" s="24"/>
      <c r="M105" s="24"/>
      <c r="N105" s="24"/>
      <c r="O105" s="24"/>
      <c r="P105" s="24"/>
      <c r="Q105" s="24"/>
      <c r="R105" s="24"/>
    </row>
    <row r="106" spans="2:18">
      <c r="B106" s="617" t="s">
        <v>101</v>
      </c>
      <c r="C106" s="290"/>
      <c r="D106" s="285">
        <v>2.1999999999999999E-2</v>
      </c>
      <c r="E106" s="286"/>
      <c r="F106" s="295">
        <v>8.9999999999999993E-3</v>
      </c>
      <c r="G106" s="296"/>
      <c r="H106" s="618">
        <v>1.0999999999999999E-2</v>
      </c>
      <c r="I106" s="619"/>
      <c r="J106" s="618">
        <v>8.9999999999999993E-3</v>
      </c>
      <c r="K106" s="620"/>
      <c r="L106" s="24"/>
      <c r="M106" s="24"/>
      <c r="N106" s="24"/>
      <c r="O106" s="24"/>
      <c r="P106" s="24"/>
      <c r="Q106" s="24"/>
      <c r="R106" s="24"/>
    </row>
    <row r="107" spans="2:18">
      <c r="B107" s="628" t="s">
        <v>104</v>
      </c>
      <c r="C107" s="505"/>
      <c r="D107" s="295">
        <v>6.7000000000000004E-2</v>
      </c>
      <c r="E107" s="296"/>
      <c r="F107" s="295">
        <v>1.9E-2</v>
      </c>
      <c r="G107" s="296"/>
      <c r="H107" s="618">
        <v>1.9E-2</v>
      </c>
      <c r="I107" s="619"/>
      <c r="J107" s="618">
        <v>1.9E-2</v>
      </c>
      <c r="K107" s="620"/>
      <c r="L107" s="24"/>
      <c r="M107" s="24"/>
      <c r="N107" s="24"/>
      <c r="O107" s="24"/>
      <c r="P107" s="24"/>
      <c r="Q107" s="24"/>
      <c r="R107" s="24"/>
    </row>
    <row r="108" spans="2:18">
      <c r="B108" s="615" t="s">
        <v>195</v>
      </c>
      <c r="C108" s="616"/>
      <c r="D108" s="305">
        <v>0.03</v>
      </c>
      <c r="E108" s="306"/>
      <c r="F108" s="305">
        <v>2.3E-2</v>
      </c>
      <c r="G108" s="306"/>
      <c r="H108" s="613">
        <v>1.9E-2</v>
      </c>
      <c r="I108" s="614"/>
      <c r="J108" s="613">
        <v>2.3E-2</v>
      </c>
      <c r="K108" s="621"/>
      <c r="L108" s="24"/>
      <c r="M108" s="24"/>
      <c r="N108" s="24"/>
      <c r="O108" s="24"/>
      <c r="P108" s="24"/>
      <c r="Q108" s="24"/>
      <c r="R108" s="24"/>
    </row>
    <row r="109" spans="2:18">
      <c r="B109" s="625" t="s">
        <v>346</v>
      </c>
      <c r="C109" s="626"/>
      <c r="D109" s="626"/>
      <c r="E109" s="626"/>
      <c r="F109" s="626"/>
      <c r="G109" s="626"/>
      <c r="H109" s="626"/>
      <c r="I109" s="626"/>
      <c r="J109" s="626"/>
      <c r="K109" s="626"/>
      <c r="L109" s="24"/>
      <c r="M109" s="24"/>
      <c r="N109" s="24"/>
      <c r="O109" s="24"/>
      <c r="P109" s="24"/>
      <c r="Q109" s="24"/>
      <c r="R109" s="24"/>
    </row>
    <row r="110" spans="2:18">
      <c r="B110" s="627"/>
      <c r="C110" s="627"/>
      <c r="D110" s="627"/>
      <c r="E110" s="627"/>
      <c r="F110" s="627"/>
      <c r="G110" s="627"/>
      <c r="H110" s="627"/>
      <c r="I110" s="627"/>
      <c r="J110" s="627"/>
      <c r="K110" s="627"/>
      <c r="L110" s="24"/>
      <c r="M110" s="24"/>
      <c r="N110" s="24"/>
      <c r="O110" s="24"/>
      <c r="P110" s="24"/>
      <c r="Q110" s="24"/>
      <c r="R110" s="24"/>
    </row>
    <row r="111" spans="2:18">
      <c r="B111" s="24"/>
      <c r="C111" s="24"/>
      <c r="D111" s="24"/>
      <c r="E111" s="24"/>
      <c r="F111" s="24"/>
      <c r="G111" s="24"/>
      <c r="H111" s="24"/>
      <c r="I111" s="24"/>
      <c r="J111" s="24"/>
      <c r="K111" s="24"/>
      <c r="L111" s="24"/>
      <c r="M111" s="24"/>
      <c r="N111" s="24"/>
      <c r="O111" s="24"/>
      <c r="P111" s="24"/>
      <c r="Q111" s="24"/>
      <c r="R111" s="24"/>
    </row>
    <row r="112" spans="2:18">
      <c r="L112" s="24"/>
      <c r="M112" s="24"/>
      <c r="N112" s="24"/>
      <c r="O112" s="24"/>
      <c r="P112" s="24"/>
      <c r="Q112" s="24"/>
      <c r="R112" s="24"/>
    </row>
    <row r="113" spans="2:18" ht="13.8" thickBot="1">
      <c r="L113" s="24"/>
      <c r="M113" s="24"/>
      <c r="N113" s="24"/>
      <c r="O113" s="24"/>
      <c r="P113" s="24"/>
      <c r="Q113" s="24"/>
      <c r="R113" s="24"/>
    </row>
    <row r="114" spans="2:18" ht="13.8" thickTop="1">
      <c r="B114" s="585" t="s">
        <v>579</v>
      </c>
      <c r="C114" s="668"/>
      <c r="D114" s="668"/>
      <c r="E114" s="668"/>
      <c r="F114" s="668"/>
      <c r="G114" s="668"/>
      <c r="H114" s="668"/>
      <c r="I114" s="668"/>
      <c r="J114" s="668"/>
      <c r="K114" s="668"/>
      <c r="L114" s="24"/>
      <c r="M114" s="24"/>
      <c r="N114" s="24"/>
      <c r="O114" s="24"/>
      <c r="P114" s="24"/>
      <c r="Q114" s="24"/>
      <c r="R114" s="24"/>
    </row>
    <row r="115" spans="2:18" ht="13.8" thickBot="1">
      <c r="B115" s="669"/>
      <c r="C115" s="669"/>
      <c r="D115" s="669"/>
      <c r="E115" s="669"/>
      <c r="F115" s="669"/>
      <c r="G115" s="669"/>
      <c r="H115" s="669"/>
      <c r="I115" s="669"/>
      <c r="J115" s="669"/>
      <c r="K115" s="669"/>
      <c r="L115" s="24"/>
      <c r="M115" s="24"/>
      <c r="N115" s="24"/>
      <c r="O115" s="24"/>
      <c r="P115" s="24"/>
      <c r="Q115" s="24"/>
      <c r="R115" s="24"/>
    </row>
    <row r="116" spans="2:18" ht="15.6">
      <c r="B116" s="671" t="s">
        <v>69</v>
      </c>
      <c r="C116" s="673" t="s">
        <v>67</v>
      </c>
      <c r="D116" s="569" t="s">
        <v>345</v>
      </c>
      <c r="E116" s="350"/>
      <c r="F116" s="350"/>
      <c r="G116" s="350"/>
      <c r="H116" s="350"/>
      <c r="I116" s="350"/>
      <c r="J116" s="350"/>
      <c r="K116" s="665"/>
      <c r="L116" s="24"/>
      <c r="M116" s="24"/>
      <c r="N116" s="24"/>
      <c r="O116" s="24"/>
      <c r="P116" s="24"/>
      <c r="Q116" s="24"/>
      <c r="R116" s="24"/>
    </row>
    <row r="117" spans="2:18">
      <c r="B117" s="672"/>
      <c r="C117" s="674"/>
      <c r="D117" s="403" t="s">
        <v>47</v>
      </c>
      <c r="E117" s="352"/>
      <c r="F117" s="352"/>
      <c r="G117" s="352"/>
      <c r="H117" s="543" t="s">
        <v>48</v>
      </c>
      <c r="I117" s="291"/>
      <c r="J117" s="291"/>
      <c r="K117" s="285"/>
      <c r="L117" s="24"/>
      <c r="M117" s="24"/>
      <c r="N117" s="24"/>
      <c r="O117" s="24"/>
      <c r="P117" s="24"/>
      <c r="Q117" s="24"/>
      <c r="R117" s="24"/>
    </row>
    <row r="118" spans="2:18">
      <c r="B118" s="719" t="s">
        <v>235</v>
      </c>
      <c r="C118" s="334"/>
      <c r="D118" s="543" t="s">
        <v>670</v>
      </c>
      <c r="E118" s="543"/>
      <c r="F118" s="543" t="s">
        <v>671</v>
      </c>
      <c r="G118" s="543"/>
      <c r="H118" s="543" t="s">
        <v>670</v>
      </c>
      <c r="I118" s="543"/>
      <c r="J118" s="543" t="s">
        <v>671</v>
      </c>
      <c r="K118" s="472"/>
      <c r="L118" s="24"/>
      <c r="M118" s="24"/>
      <c r="N118" s="24"/>
      <c r="O118" s="24"/>
      <c r="P118" s="24"/>
      <c r="Q118" s="24"/>
      <c r="R118" s="24"/>
    </row>
    <row r="119" spans="2:18">
      <c r="B119" s="617" t="s">
        <v>181</v>
      </c>
      <c r="C119" s="290"/>
      <c r="D119" s="285">
        <v>1.7999999999999999E-2</v>
      </c>
      <c r="E119" s="286"/>
      <c r="F119" s="285">
        <v>4.0000000000000001E-3</v>
      </c>
      <c r="G119" s="286"/>
      <c r="H119" s="679">
        <v>2E-3</v>
      </c>
      <c r="I119" s="619"/>
      <c r="J119" s="618">
        <v>4.0000000000000001E-3</v>
      </c>
      <c r="K119" s="620"/>
      <c r="L119" s="24"/>
      <c r="M119" s="24"/>
      <c r="N119" s="24"/>
      <c r="O119" s="24"/>
      <c r="P119" s="24"/>
      <c r="Q119" s="24"/>
      <c r="R119" s="24"/>
    </row>
    <row r="120" spans="2:18">
      <c r="B120" s="617" t="s">
        <v>180</v>
      </c>
      <c r="C120" s="290"/>
      <c r="D120" s="285">
        <v>2.7E-2</v>
      </c>
      <c r="E120" s="286"/>
      <c r="F120" s="295">
        <v>7.0000000000000001E-3</v>
      </c>
      <c r="G120" s="296"/>
      <c r="H120" s="618">
        <v>2.7E-2</v>
      </c>
      <c r="I120" s="619"/>
      <c r="J120" s="618">
        <v>7.0000000000000001E-3</v>
      </c>
      <c r="K120" s="620"/>
      <c r="L120" s="24"/>
      <c r="M120" s="24"/>
      <c r="N120" s="24"/>
      <c r="O120" s="24"/>
      <c r="P120" s="24"/>
      <c r="Q120" s="24"/>
      <c r="R120" s="24"/>
    </row>
    <row r="121" spans="2:18">
      <c r="B121" s="617" t="s">
        <v>101</v>
      </c>
      <c r="C121" s="290"/>
      <c r="D121" s="285">
        <v>1.0999999999999999E-2</v>
      </c>
      <c r="E121" s="286"/>
      <c r="F121" s="295">
        <v>2E-3</v>
      </c>
      <c r="G121" s="296"/>
      <c r="H121" s="618">
        <v>2E-3</v>
      </c>
      <c r="I121" s="619"/>
      <c r="J121" s="618">
        <v>2E-3</v>
      </c>
      <c r="K121" s="620"/>
      <c r="L121" s="24"/>
      <c r="M121" s="24"/>
      <c r="N121" s="24"/>
      <c r="O121" s="24"/>
      <c r="P121" s="24"/>
      <c r="Q121" s="24"/>
      <c r="R121" s="24"/>
    </row>
    <row r="122" spans="2:18">
      <c r="B122" s="628" t="s">
        <v>104</v>
      </c>
      <c r="C122" s="505"/>
      <c r="D122" s="295">
        <v>1.2999999999999999E-2</v>
      </c>
      <c r="E122" s="296"/>
      <c r="F122" s="295">
        <v>5.0000000000000001E-3</v>
      </c>
      <c r="G122" s="296"/>
      <c r="H122" s="618">
        <v>4.0000000000000001E-3</v>
      </c>
      <c r="I122" s="619"/>
      <c r="J122" s="618">
        <v>1.0999999999999999E-2</v>
      </c>
      <c r="K122" s="620"/>
      <c r="L122" s="24"/>
      <c r="M122" s="24"/>
      <c r="N122" s="24"/>
      <c r="O122" s="24"/>
      <c r="P122" s="24"/>
      <c r="Q122" s="24"/>
      <c r="R122" s="24"/>
    </row>
    <row r="123" spans="2:18" ht="13.8" thickBot="1">
      <c r="B123" s="615" t="s">
        <v>195</v>
      </c>
      <c r="C123" s="616"/>
      <c r="D123" s="305">
        <v>0.05</v>
      </c>
      <c r="E123" s="306"/>
      <c r="F123" s="305">
        <v>1.2E-2</v>
      </c>
      <c r="G123" s="306"/>
      <c r="H123" s="613">
        <v>3.0000000000000001E-3</v>
      </c>
      <c r="I123" s="614"/>
      <c r="J123" s="613">
        <v>6.5000000000000002E-2</v>
      </c>
      <c r="K123" s="621"/>
      <c r="L123" s="24"/>
      <c r="M123" s="24"/>
      <c r="N123" s="24"/>
      <c r="O123" s="24"/>
      <c r="P123" s="24"/>
      <c r="Q123" s="24"/>
      <c r="R123" s="24"/>
    </row>
    <row r="124" spans="2:18">
      <c r="B124" s="625" t="s">
        <v>347</v>
      </c>
      <c r="C124" s="626"/>
      <c r="D124" s="626"/>
      <c r="E124" s="626"/>
      <c r="F124" s="626"/>
      <c r="G124" s="626"/>
      <c r="H124" s="626"/>
      <c r="I124" s="626"/>
      <c r="J124" s="626"/>
      <c r="K124" s="626"/>
      <c r="L124" s="24"/>
      <c r="M124" s="24"/>
      <c r="N124" s="24"/>
      <c r="O124" s="24"/>
      <c r="P124" s="24"/>
      <c r="Q124" s="24"/>
      <c r="R124" s="24"/>
    </row>
    <row r="125" spans="2:18">
      <c r="B125" s="627"/>
      <c r="C125" s="627"/>
      <c r="D125" s="627"/>
      <c r="E125" s="627"/>
      <c r="F125" s="627"/>
      <c r="G125" s="627"/>
      <c r="H125" s="627"/>
      <c r="I125" s="627"/>
      <c r="J125" s="627"/>
      <c r="K125" s="627"/>
      <c r="L125" s="24"/>
      <c r="M125" s="24"/>
      <c r="N125" s="24"/>
      <c r="O125" s="24"/>
      <c r="P125" s="24"/>
      <c r="Q125" s="24"/>
      <c r="R125" s="24"/>
    </row>
    <row r="126" spans="2:18">
      <c r="L126" s="24"/>
      <c r="M126" s="24"/>
      <c r="N126" s="24"/>
      <c r="O126" s="24"/>
      <c r="P126" s="24"/>
      <c r="Q126" s="24"/>
      <c r="R126" s="24"/>
    </row>
    <row r="127" spans="2:18">
      <c r="L127" s="24"/>
      <c r="M127" s="24"/>
      <c r="N127" s="24"/>
      <c r="O127" s="24"/>
      <c r="P127" s="24"/>
      <c r="Q127" s="24"/>
      <c r="R127" s="24"/>
    </row>
    <row r="128" spans="2:18" ht="13.8" thickBot="1">
      <c r="B128" s="1"/>
      <c r="C128" s="1"/>
      <c r="D128" s="1"/>
      <c r="E128" s="1"/>
      <c r="F128" s="1"/>
      <c r="G128" s="1"/>
      <c r="H128" s="1"/>
      <c r="L128" s="24"/>
      <c r="M128" s="24"/>
      <c r="N128" s="24"/>
      <c r="O128" s="24"/>
      <c r="P128" s="24"/>
      <c r="Q128" s="24"/>
      <c r="R128" s="24"/>
    </row>
    <row r="129" spans="2:18" ht="13.8" thickTop="1">
      <c r="B129" s="692" t="s">
        <v>589</v>
      </c>
      <c r="C129" s="693"/>
      <c r="D129" s="693"/>
      <c r="E129" s="693"/>
      <c r="F129" s="693"/>
      <c r="G129" s="693"/>
      <c r="H129" s="693"/>
      <c r="L129" s="24"/>
      <c r="M129" s="24"/>
      <c r="N129" s="24"/>
      <c r="O129" s="24"/>
      <c r="P129" s="24"/>
      <c r="Q129" s="24"/>
      <c r="R129" s="24"/>
    </row>
    <row r="130" spans="2:18" ht="13.8" thickBot="1">
      <c r="B130" s="694"/>
      <c r="C130" s="694"/>
      <c r="D130" s="694"/>
      <c r="E130" s="694"/>
      <c r="F130" s="694"/>
      <c r="G130" s="694"/>
      <c r="H130" s="694"/>
      <c r="L130" s="33"/>
      <c r="M130" s="33"/>
      <c r="N130" s="33"/>
      <c r="O130" s="33"/>
      <c r="P130" s="33"/>
      <c r="Q130" s="33"/>
      <c r="R130" s="33"/>
    </row>
    <row r="131" spans="2:18">
      <c r="B131" s="680" t="s">
        <v>194</v>
      </c>
      <c r="C131" s="681"/>
      <c r="D131" s="681"/>
      <c r="E131" s="570" t="s">
        <v>47</v>
      </c>
      <c r="F131" s="695"/>
      <c r="G131" s="570" t="s">
        <v>48</v>
      </c>
      <c r="H131" s="705"/>
    </row>
    <row r="132" spans="2:18">
      <c r="B132" s="682"/>
      <c r="C132" s="683"/>
      <c r="D132" s="683"/>
      <c r="E132" s="403" t="s">
        <v>211</v>
      </c>
      <c r="F132" s="352"/>
      <c r="G132" s="403" t="s">
        <v>211</v>
      </c>
      <c r="H132" s="677"/>
    </row>
    <row r="133" spans="2:18">
      <c r="B133" s="617" t="s">
        <v>69</v>
      </c>
      <c r="C133" s="291"/>
      <c r="D133" s="245" t="s">
        <v>68</v>
      </c>
      <c r="E133" s="352"/>
      <c r="F133" s="352"/>
      <c r="G133" s="352"/>
      <c r="H133" s="677"/>
      <c r="L133" s="25"/>
      <c r="M133" s="25"/>
      <c r="N133" s="25"/>
      <c r="O133" s="25"/>
      <c r="P133" s="25"/>
      <c r="Q133" s="25"/>
      <c r="R133" s="25"/>
    </row>
    <row r="134" spans="2:18">
      <c r="B134" s="663"/>
      <c r="C134" s="449"/>
      <c r="D134" s="336"/>
      <c r="E134" s="353"/>
      <c r="F134" s="353"/>
      <c r="G134" s="353"/>
      <c r="H134" s="678"/>
      <c r="L134" s="1"/>
      <c r="M134" s="1"/>
      <c r="N134" s="1"/>
      <c r="O134" s="1"/>
      <c r="P134" s="1"/>
      <c r="Q134" s="1"/>
      <c r="R134" s="1"/>
    </row>
    <row r="135" spans="2:18">
      <c r="B135" s="617" t="s">
        <v>181</v>
      </c>
      <c r="C135" s="291"/>
      <c r="D135" s="291"/>
      <c r="E135" s="444">
        <v>5.8999999999999997E-2</v>
      </c>
      <c r="F135" s="662"/>
      <c r="G135" s="660"/>
      <c r="H135" s="661"/>
      <c r="L135" s="5"/>
      <c r="M135" s="5"/>
      <c r="N135" s="5"/>
      <c r="O135" s="5"/>
      <c r="P135" s="5"/>
      <c r="Q135" s="5"/>
      <c r="R135" s="5"/>
    </row>
    <row r="136" spans="2:18">
      <c r="B136" s="617" t="s">
        <v>180</v>
      </c>
      <c r="C136" s="291"/>
      <c r="D136" s="291"/>
      <c r="E136" s="662">
        <v>3.4000000000000002E-2</v>
      </c>
      <c r="F136" s="662"/>
      <c r="G136" s="660"/>
      <c r="H136" s="661"/>
      <c r="I136" s="1"/>
      <c r="J136" s="1"/>
      <c r="K136" s="1"/>
      <c r="L136" s="1"/>
      <c r="M136" s="1"/>
      <c r="N136" s="1"/>
      <c r="O136" s="1"/>
      <c r="P136" s="1"/>
      <c r="Q136" s="1"/>
      <c r="R136" s="1"/>
    </row>
    <row r="137" spans="2:18">
      <c r="B137" s="617" t="s">
        <v>101</v>
      </c>
      <c r="C137" s="291"/>
      <c r="D137" s="291"/>
      <c r="E137" s="285">
        <v>3.6999999999999998E-2</v>
      </c>
      <c r="F137" s="286"/>
      <c r="G137" s="666"/>
      <c r="H137" s="618"/>
      <c r="I137" s="10"/>
      <c r="J137" s="10"/>
      <c r="K137" s="10"/>
      <c r="L137" s="10"/>
      <c r="M137" s="10"/>
      <c r="N137" s="10"/>
      <c r="O137" s="10"/>
      <c r="P137" s="10"/>
      <c r="Q137" s="10"/>
      <c r="R137" s="10"/>
    </row>
    <row r="138" spans="2:18">
      <c r="B138" s="617" t="s">
        <v>104</v>
      </c>
      <c r="C138" s="291"/>
      <c r="D138" s="291"/>
      <c r="E138" s="667">
        <v>3.5999999999999997E-2</v>
      </c>
      <c r="F138" s="291"/>
      <c r="G138" s="666"/>
      <c r="H138" s="618"/>
      <c r="I138" s="10"/>
      <c r="J138" s="10"/>
      <c r="K138" s="10"/>
      <c r="L138" s="10"/>
      <c r="M138" s="10"/>
      <c r="N138" s="10"/>
      <c r="O138" s="10"/>
      <c r="P138" s="10"/>
      <c r="Q138" s="10"/>
      <c r="R138" s="10"/>
    </row>
    <row r="139" spans="2:18" ht="13.8" thickBot="1">
      <c r="B139" s="664" t="s">
        <v>195</v>
      </c>
      <c r="C139" s="525"/>
      <c r="D139" s="525"/>
      <c r="E139" s="689">
        <v>1.6E-2</v>
      </c>
      <c r="F139" s="689"/>
      <c r="G139" s="690"/>
      <c r="H139" s="613"/>
      <c r="I139" s="10"/>
      <c r="J139" s="10"/>
      <c r="K139" s="10"/>
      <c r="L139" s="10"/>
      <c r="M139" s="10"/>
      <c r="N139" s="10"/>
      <c r="O139" s="10"/>
      <c r="P139" s="10"/>
      <c r="Q139" s="10"/>
      <c r="R139" s="10"/>
    </row>
    <row r="140" spans="2:18">
      <c r="B140" s="51"/>
      <c r="C140" s="52"/>
      <c r="D140" s="52"/>
      <c r="G140" s="24"/>
      <c r="H140" s="24"/>
      <c r="I140" s="10"/>
      <c r="J140" s="10"/>
      <c r="K140" s="10"/>
      <c r="L140" s="10"/>
      <c r="M140" s="10"/>
      <c r="N140" s="10"/>
      <c r="O140" s="10"/>
      <c r="P140" s="10"/>
      <c r="Q140" s="10"/>
      <c r="R140" s="10"/>
    </row>
    <row r="141" spans="2:18">
      <c r="B141" s="33"/>
      <c r="C141" s="33"/>
      <c r="D141" s="33"/>
      <c r="E141" s="33"/>
      <c r="F141" s="33"/>
      <c r="G141" s="33"/>
      <c r="H141" s="33"/>
      <c r="I141" s="33"/>
      <c r="J141" s="33"/>
      <c r="K141" s="33"/>
      <c r="L141" s="33"/>
      <c r="M141" s="33"/>
      <c r="N141" s="33"/>
      <c r="O141" s="33"/>
      <c r="P141" s="33"/>
      <c r="Q141" s="33"/>
      <c r="R141" s="33"/>
    </row>
    <row r="142" spans="2:18" ht="13.8" thickBot="1">
      <c r="B142" s="51"/>
      <c r="C142" s="52"/>
      <c r="D142" s="52"/>
      <c r="E142" s="24"/>
      <c r="F142" s="24"/>
      <c r="G142" s="24"/>
      <c r="H142" s="24"/>
      <c r="I142" s="24"/>
      <c r="J142" s="24"/>
      <c r="K142" s="24"/>
      <c r="L142" s="24"/>
    </row>
    <row r="143" spans="2:18" ht="13.8" customHeight="1" thickTop="1">
      <c r="B143" s="607" t="s">
        <v>591</v>
      </c>
      <c r="C143" s="607"/>
      <c r="D143" s="607"/>
      <c r="E143" s="607"/>
      <c r="F143" s="607"/>
      <c r="G143" s="607"/>
      <c r="H143" s="607"/>
      <c r="I143" s="607"/>
      <c r="J143" s="607"/>
      <c r="K143" s="607"/>
      <c r="L143" s="607"/>
      <c r="M143" s="607"/>
      <c r="N143" s="607"/>
    </row>
    <row r="144" spans="2:18" ht="13.8" thickBot="1">
      <c r="B144" s="608"/>
      <c r="C144" s="608"/>
      <c r="D144" s="608"/>
      <c r="E144" s="608"/>
      <c r="F144" s="608"/>
      <c r="G144" s="608"/>
      <c r="H144" s="608"/>
      <c r="I144" s="608"/>
      <c r="J144" s="608"/>
      <c r="K144" s="608"/>
      <c r="L144" s="608"/>
      <c r="M144" s="608"/>
      <c r="N144" s="608"/>
    </row>
    <row r="145" spans="2:14">
      <c r="B145" s="723" t="s">
        <v>194</v>
      </c>
      <c r="C145" s="724"/>
      <c r="D145" s="724"/>
      <c r="E145" s="569" t="s">
        <v>47</v>
      </c>
      <c r="F145" s="350"/>
      <c r="G145" s="350"/>
      <c r="H145" s="350"/>
      <c r="I145" s="350"/>
      <c r="J145" s="605" t="s">
        <v>48</v>
      </c>
      <c r="K145" s="606"/>
      <c r="L145" s="606"/>
      <c r="M145" s="606"/>
      <c r="N145" s="606"/>
    </row>
    <row r="146" spans="2:14" ht="13.2" customHeight="1">
      <c r="B146" s="682"/>
      <c r="C146" s="683"/>
      <c r="D146" s="683"/>
      <c r="E146" s="338" t="s">
        <v>667</v>
      </c>
      <c r="F146" s="398"/>
      <c r="G146" s="398"/>
      <c r="H146" s="338" t="s">
        <v>668</v>
      </c>
      <c r="I146" s="398"/>
      <c r="J146" s="338" t="s">
        <v>665</v>
      </c>
      <c r="K146" s="398"/>
      <c r="L146" s="398"/>
      <c r="M146" s="399" t="s">
        <v>666</v>
      </c>
      <c r="N146" s="430"/>
    </row>
    <row r="147" spans="2:14">
      <c r="B147" s="617" t="s">
        <v>69</v>
      </c>
      <c r="C147" s="291"/>
      <c r="D147" s="245" t="s">
        <v>68</v>
      </c>
      <c r="E147" s="398"/>
      <c r="F147" s="398"/>
      <c r="G147" s="398"/>
      <c r="H147" s="398"/>
      <c r="I147" s="398"/>
      <c r="J147" s="398"/>
      <c r="K147" s="398"/>
      <c r="L147" s="398"/>
      <c r="M147" s="401"/>
      <c r="N147" s="622"/>
    </row>
    <row r="148" spans="2:14" ht="15.6">
      <c r="B148" s="722"/>
      <c r="C148" s="334"/>
      <c r="D148" s="334"/>
      <c r="E148" s="725" t="s">
        <v>216</v>
      </c>
      <c r="F148" s="403"/>
      <c r="G148" s="95" t="s">
        <v>217</v>
      </c>
      <c r="H148" s="726" t="s">
        <v>218</v>
      </c>
      <c r="I148" s="291"/>
      <c r="J148" s="725" t="s">
        <v>216</v>
      </c>
      <c r="K148" s="403"/>
      <c r="L148" s="95" t="s">
        <v>217</v>
      </c>
      <c r="M148" s="623" t="s">
        <v>218</v>
      </c>
      <c r="N148" s="624"/>
    </row>
    <row r="149" spans="2:14">
      <c r="B149" s="617" t="s">
        <v>181</v>
      </c>
      <c r="C149" s="291"/>
      <c r="D149" s="291"/>
      <c r="E149" s="291">
        <v>0.42399999999999999</v>
      </c>
      <c r="F149" s="291"/>
      <c r="G149" s="4">
        <v>0.57599999999999996</v>
      </c>
      <c r="H149" s="308">
        <v>0.316</v>
      </c>
      <c r="I149" s="308"/>
      <c r="J149" s="666"/>
      <c r="K149" s="666"/>
      <c r="L149" s="246"/>
      <c r="M149" s="618"/>
      <c r="N149" s="620"/>
    </row>
    <row r="150" spans="2:14">
      <c r="B150" s="617" t="s">
        <v>180</v>
      </c>
      <c r="C150" s="291"/>
      <c r="D150" s="291"/>
      <c r="E150" s="291">
        <v>0.42899999999999999</v>
      </c>
      <c r="F150" s="291"/>
      <c r="G150" s="4">
        <v>0.57099999999999995</v>
      </c>
      <c r="H150" s="308">
        <v>0.30399999999999999</v>
      </c>
      <c r="I150" s="308"/>
      <c r="J150" s="666"/>
      <c r="K150" s="666"/>
      <c r="L150" s="246"/>
      <c r="M150" s="618"/>
      <c r="N150" s="620"/>
    </row>
    <row r="151" spans="2:14">
      <c r="B151" s="617" t="s">
        <v>101</v>
      </c>
      <c r="C151" s="291"/>
      <c r="D151" s="291"/>
      <c r="E151" s="291">
        <v>0.51700000000000002</v>
      </c>
      <c r="F151" s="291"/>
      <c r="G151" s="4">
        <v>0.48299999999999998</v>
      </c>
      <c r="H151" s="308">
        <v>0.36499999999999999</v>
      </c>
      <c r="I151" s="308"/>
      <c r="J151" s="666"/>
      <c r="K151" s="666"/>
      <c r="L151" s="246"/>
      <c r="M151" s="618"/>
      <c r="N151" s="620"/>
    </row>
    <row r="152" spans="2:14">
      <c r="B152" s="617" t="s">
        <v>104</v>
      </c>
      <c r="C152" s="291"/>
      <c r="D152" s="291"/>
      <c r="E152" s="291">
        <v>0.36399999999999999</v>
      </c>
      <c r="F152" s="291"/>
      <c r="G152" s="4">
        <v>0.63600000000000001</v>
      </c>
      <c r="H152" s="308">
        <v>0.41</v>
      </c>
      <c r="I152" s="308"/>
      <c r="J152" s="666"/>
      <c r="K152" s="666"/>
      <c r="L152" s="246"/>
      <c r="M152" s="618"/>
      <c r="N152" s="620"/>
    </row>
    <row r="153" spans="2:14" ht="13.8" thickBot="1">
      <c r="B153" s="664" t="s">
        <v>195</v>
      </c>
      <c r="C153" s="525"/>
      <c r="D153" s="525"/>
      <c r="E153" s="525">
        <v>0.432</v>
      </c>
      <c r="F153" s="525"/>
      <c r="G153" s="68">
        <v>0.56799999999999995</v>
      </c>
      <c r="H153" s="307">
        <v>0.27400000000000002</v>
      </c>
      <c r="I153" s="307"/>
      <c r="J153" s="729"/>
      <c r="K153" s="729"/>
      <c r="L153" s="247"/>
      <c r="M153" s="613"/>
      <c r="N153" s="621"/>
    </row>
  </sheetData>
  <sheetProtection sheet="1" objects="1" scenarios="1"/>
  <mergeCells count="283">
    <mergeCell ref="B152:D152"/>
    <mergeCell ref="B153:D153"/>
    <mergeCell ref="E149:F149"/>
    <mergeCell ref="E150:F150"/>
    <mergeCell ref="B76:C76"/>
    <mergeCell ref="B60:B61"/>
    <mergeCell ref="C60:C61"/>
    <mergeCell ref="D60:M60"/>
    <mergeCell ref="B74:C74"/>
    <mergeCell ref="B75:C75"/>
    <mergeCell ref="B64:C64"/>
    <mergeCell ref="B65:C65"/>
    <mergeCell ref="B70:C71"/>
    <mergeCell ref="B80:M81"/>
    <mergeCell ref="B82:B83"/>
    <mergeCell ref="C82:C83"/>
    <mergeCell ref="D82:M82"/>
    <mergeCell ref="D83:M83"/>
    <mergeCell ref="B87:C87"/>
    <mergeCell ref="B93:C93"/>
    <mergeCell ref="B94:C94"/>
    <mergeCell ref="B95:C95"/>
    <mergeCell ref="B85:C85"/>
    <mergeCell ref="B86:C86"/>
    <mergeCell ref="E151:F151"/>
    <mergeCell ref="E152:F152"/>
    <mergeCell ref="J146:L147"/>
    <mergeCell ref="J148:K148"/>
    <mergeCell ref="H149:I149"/>
    <mergeCell ref="H150:I150"/>
    <mergeCell ref="J149:K149"/>
    <mergeCell ref="J150:K150"/>
    <mergeCell ref="J153:K153"/>
    <mergeCell ref="H152:I152"/>
    <mergeCell ref="H153:I153"/>
    <mergeCell ref="H151:I151"/>
    <mergeCell ref="E153:F153"/>
    <mergeCell ref="J152:K152"/>
    <mergeCell ref="J151:K151"/>
    <mergeCell ref="AB4:AC4"/>
    <mergeCell ref="Z5:AA5"/>
    <mergeCell ref="AB5:AC5"/>
    <mergeCell ref="Z2:AC3"/>
    <mergeCell ref="B148:D148"/>
    <mergeCell ref="B145:D146"/>
    <mergeCell ref="B147:C147"/>
    <mergeCell ref="E148:F148"/>
    <mergeCell ref="E146:G147"/>
    <mergeCell ref="H146:I147"/>
    <mergeCell ref="H148:I148"/>
    <mergeCell ref="E145:I145"/>
    <mergeCell ref="B72:C72"/>
    <mergeCell ref="B73:C73"/>
    <mergeCell ref="D61:M61"/>
    <mergeCell ref="B92:C92"/>
    <mergeCell ref="B42:H42"/>
    <mergeCell ref="B44:H44"/>
    <mergeCell ref="B46:H46"/>
    <mergeCell ref="B41:C41"/>
    <mergeCell ref="B43:C43"/>
    <mergeCell ref="B45:C45"/>
    <mergeCell ref="B47:C47"/>
    <mergeCell ref="T2:X3"/>
    <mergeCell ref="B137:D137"/>
    <mergeCell ref="E137:F137"/>
    <mergeCell ref="B103:C103"/>
    <mergeCell ref="B104:C104"/>
    <mergeCell ref="D70:M70"/>
    <mergeCell ref="H103:I103"/>
    <mergeCell ref="H102:K102"/>
    <mergeCell ref="J103:K103"/>
    <mergeCell ref="F105:G105"/>
    <mergeCell ref="F107:G107"/>
    <mergeCell ref="B105:C105"/>
    <mergeCell ref="B106:C106"/>
    <mergeCell ref="F104:G104"/>
    <mergeCell ref="F106:G106"/>
    <mergeCell ref="B116:B117"/>
    <mergeCell ref="H121:I121"/>
    <mergeCell ref="J121:K121"/>
    <mergeCell ref="B118:C118"/>
    <mergeCell ref="D118:E118"/>
    <mergeCell ref="F118:G118"/>
    <mergeCell ref="H118:I118"/>
    <mergeCell ref="C116:C117"/>
    <mergeCell ref="D116:K116"/>
    <mergeCell ref="D117:G117"/>
    <mergeCell ref="T25:U25"/>
    <mergeCell ref="G131:H131"/>
    <mergeCell ref="B40:H40"/>
    <mergeCell ref="B14:E14"/>
    <mergeCell ref="B38:C38"/>
    <mergeCell ref="B39:C39"/>
    <mergeCell ref="Z4:AA4"/>
    <mergeCell ref="B30:C31"/>
    <mergeCell ref="D30:H30"/>
    <mergeCell ref="B36:C36"/>
    <mergeCell ref="B37:C37"/>
    <mergeCell ref="B35:C35"/>
    <mergeCell ref="B33:C33"/>
    <mergeCell ref="B34:C34"/>
    <mergeCell ref="Z12:AA12"/>
    <mergeCell ref="Z13:AC14"/>
    <mergeCell ref="T15:V18"/>
    <mergeCell ref="T19:U19"/>
    <mergeCell ref="T20:U20"/>
    <mergeCell ref="T21:U21"/>
    <mergeCell ref="T22:U22"/>
    <mergeCell ref="T23:U23"/>
    <mergeCell ref="T24:U24"/>
    <mergeCell ref="Z6:AA6"/>
    <mergeCell ref="Z7:AA7"/>
    <mergeCell ref="AB6:AC6"/>
    <mergeCell ref="AB7:AC7"/>
    <mergeCell ref="AB8:AC8"/>
    <mergeCell ref="Z8:AA8"/>
    <mergeCell ref="B20:E20"/>
    <mergeCell ref="E139:F139"/>
    <mergeCell ref="G139:H139"/>
    <mergeCell ref="B67:C67"/>
    <mergeCell ref="B68:C68"/>
    <mergeCell ref="B66:C66"/>
    <mergeCell ref="B129:H130"/>
    <mergeCell ref="B135:D135"/>
    <mergeCell ref="E131:F131"/>
    <mergeCell ref="B133:C133"/>
    <mergeCell ref="Z11:AA11"/>
    <mergeCell ref="AB9:AC9"/>
    <mergeCell ref="B58:M59"/>
    <mergeCell ref="AB12:AC12"/>
    <mergeCell ref="AB10:AC10"/>
    <mergeCell ref="AB11:AC11"/>
    <mergeCell ref="Z9:AA9"/>
    <mergeCell ref="Z10:AA10"/>
    <mergeCell ref="Z15:AC16"/>
    <mergeCell ref="B151:D151"/>
    <mergeCell ref="B63:C63"/>
    <mergeCell ref="B101:B102"/>
    <mergeCell ref="C101:C102"/>
    <mergeCell ref="D102:G102"/>
    <mergeCell ref="T26:U26"/>
    <mergeCell ref="T27:U27"/>
    <mergeCell ref="T28:U28"/>
    <mergeCell ref="T29:U29"/>
    <mergeCell ref="T30:U30"/>
    <mergeCell ref="G132:H134"/>
    <mergeCell ref="H119:I119"/>
    <mergeCell ref="J119:K119"/>
    <mergeCell ref="F108:G108"/>
    <mergeCell ref="J107:K107"/>
    <mergeCell ref="B136:D136"/>
    <mergeCell ref="B138:D138"/>
    <mergeCell ref="E135:F135"/>
    <mergeCell ref="B131:D132"/>
    <mergeCell ref="B99:K100"/>
    <mergeCell ref="J104:K104"/>
    <mergeCell ref="H105:I105"/>
    <mergeCell ref="H106:I106"/>
    <mergeCell ref="J105:K105"/>
    <mergeCell ref="B149:D149"/>
    <mergeCell ref="B150:D150"/>
    <mergeCell ref="G135:H135"/>
    <mergeCell ref="E136:F136"/>
    <mergeCell ref="B134:D134"/>
    <mergeCell ref="B139:D139"/>
    <mergeCell ref="D103:E103"/>
    <mergeCell ref="F103:G103"/>
    <mergeCell ref="D101:K101"/>
    <mergeCell ref="G137:H137"/>
    <mergeCell ref="E138:F138"/>
    <mergeCell ref="J106:K106"/>
    <mergeCell ref="D104:E104"/>
    <mergeCell ref="D105:E105"/>
    <mergeCell ref="D106:E106"/>
    <mergeCell ref="H104:I104"/>
    <mergeCell ref="E132:F134"/>
    <mergeCell ref="G138:H138"/>
    <mergeCell ref="G136:H136"/>
    <mergeCell ref="D108:E108"/>
    <mergeCell ref="H107:I107"/>
    <mergeCell ref="B107:C107"/>
    <mergeCell ref="D107:E107"/>
    <mergeCell ref="B114:K115"/>
    <mergeCell ref="H117:K117"/>
    <mergeCell ref="U4:X4"/>
    <mergeCell ref="T4:T8"/>
    <mergeCell ref="B4:C4"/>
    <mergeCell ref="F5:F7"/>
    <mergeCell ref="F8:I8"/>
    <mergeCell ref="X6:X8"/>
    <mergeCell ref="W6:W8"/>
    <mergeCell ref="V6:V8"/>
    <mergeCell ref="U6:U8"/>
    <mergeCell ref="W5:X5"/>
    <mergeCell ref="U5:V5"/>
    <mergeCell ref="C5:E5"/>
    <mergeCell ref="G5:I5"/>
    <mergeCell ref="L5:N5"/>
    <mergeCell ref="P5:R5"/>
    <mergeCell ref="B84:C84"/>
    <mergeCell ref="B90:C91"/>
    <mergeCell ref="D90:M90"/>
    <mergeCell ref="B29:C29"/>
    <mergeCell ref="O58:P58"/>
    <mergeCell ref="O88:P88"/>
    <mergeCell ref="E29:H29"/>
    <mergeCell ref="K27:P27"/>
    <mergeCell ref="K2:R3"/>
    <mergeCell ref="K4:L4"/>
    <mergeCell ref="N4:R4"/>
    <mergeCell ref="K20:N20"/>
    <mergeCell ref="K14:N14"/>
    <mergeCell ref="K8:N8"/>
    <mergeCell ref="E4:I4"/>
    <mergeCell ref="B2:I3"/>
    <mergeCell ref="O5:O7"/>
    <mergeCell ref="O8:R8"/>
    <mergeCell ref="K5:K7"/>
    <mergeCell ref="B8:E8"/>
    <mergeCell ref="B5:B7"/>
    <mergeCell ref="M146:N147"/>
    <mergeCell ref="M148:N148"/>
    <mergeCell ref="M153:N153"/>
    <mergeCell ref="M152:N152"/>
    <mergeCell ref="M151:N151"/>
    <mergeCell ref="M150:N150"/>
    <mergeCell ref="M149:N149"/>
    <mergeCell ref="K49:L49"/>
    <mergeCell ref="K50:L50"/>
    <mergeCell ref="K51:L51"/>
    <mergeCell ref="K52:L52"/>
    <mergeCell ref="K53:L53"/>
    <mergeCell ref="J123:K123"/>
    <mergeCell ref="B109:K110"/>
    <mergeCell ref="B121:C121"/>
    <mergeCell ref="B122:C122"/>
    <mergeCell ref="D122:E122"/>
    <mergeCell ref="F122:G122"/>
    <mergeCell ref="B124:K125"/>
    <mergeCell ref="B120:C120"/>
    <mergeCell ref="D120:E120"/>
    <mergeCell ref="F120:G120"/>
    <mergeCell ref="H120:I120"/>
    <mergeCell ref="J120:K120"/>
    <mergeCell ref="J145:N145"/>
    <mergeCell ref="B143:N144"/>
    <mergeCell ref="B48:H48"/>
    <mergeCell ref="B49:C49"/>
    <mergeCell ref="K55:L55"/>
    <mergeCell ref="B51:H52"/>
    <mergeCell ref="B50:C50"/>
    <mergeCell ref="B62:C62"/>
    <mergeCell ref="K54:L54"/>
    <mergeCell ref="F123:G123"/>
    <mergeCell ref="H123:I123"/>
    <mergeCell ref="D121:E121"/>
    <mergeCell ref="F121:G121"/>
    <mergeCell ref="B123:C123"/>
    <mergeCell ref="D123:E123"/>
    <mergeCell ref="J118:K118"/>
    <mergeCell ref="B119:C119"/>
    <mergeCell ref="D119:E119"/>
    <mergeCell ref="F119:G119"/>
    <mergeCell ref="H122:I122"/>
    <mergeCell ref="J122:K122"/>
    <mergeCell ref="J108:K108"/>
    <mergeCell ref="B108:C108"/>
    <mergeCell ref="H108:I108"/>
    <mergeCell ref="B27:H28"/>
    <mergeCell ref="B32:H32"/>
    <mergeCell ref="M47:Q47"/>
    <mergeCell ref="K47:L48"/>
    <mergeCell ref="K46:Q46"/>
    <mergeCell ref="M36:Q36"/>
    <mergeCell ref="K36:L37"/>
    <mergeCell ref="K35:Q35"/>
    <mergeCell ref="K44:L44"/>
    <mergeCell ref="K43:L43"/>
    <mergeCell ref="K42:L42"/>
    <mergeCell ref="K41:L41"/>
    <mergeCell ref="K40:L40"/>
    <mergeCell ref="K39:L39"/>
    <mergeCell ref="K38:L38"/>
  </mergeCells>
  <dataValidations count="1">
    <dataValidation type="list" allowBlank="1" showInputMessage="1" showErrorMessage="1" sqref="D147 C116 C82 C60 C101 D133 D4 M4 D29" xr:uid="{00000000-0002-0000-0300-000000000000}">
      <formula1>Local</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87"/>
  <sheetViews>
    <sheetView zoomScaleNormal="100" workbookViewId="0">
      <selection activeCell="E4" sqref="E4:G4"/>
    </sheetView>
  </sheetViews>
  <sheetFormatPr defaultRowHeight="13.2"/>
  <cols>
    <col min="1" max="7" width="11.6640625" customWidth="1"/>
    <col min="8" max="8" width="15.6640625" customWidth="1"/>
    <col min="9" max="10" width="10.6640625" customWidth="1"/>
    <col min="11" max="11" width="11.6640625" customWidth="1"/>
    <col min="12" max="12" width="13.44140625" customWidth="1"/>
    <col min="13" max="13" width="12.33203125" customWidth="1"/>
    <col min="14" max="14" width="10.6640625" customWidth="1"/>
    <col min="15" max="15" width="14.33203125" customWidth="1"/>
    <col min="16" max="16" width="63" customWidth="1"/>
    <col min="19" max="19" width="16.6640625" customWidth="1"/>
    <col min="20" max="22" width="13.6640625" customWidth="1"/>
  </cols>
  <sheetData>
    <row r="1" spans="1:20" ht="13.8" thickBot="1">
      <c r="A1" s="20"/>
      <c r="B1" s="20"/>
    </row>
    <row r="2" spans="1:20" ht="14.25" customHeight="1" thickTop="1" thickBot="1">
      <c r="A2" s="302" t="s">
        <v>353</v>
      </c>
      <c r="B2" s="358"/>
      <c r="C2" s="358"/>
      <c r="D2" s="358"/>
      <c r="E2" s="405"/>
      <c r="F2" s="405"/>
      <c r="G2" s="405"/>
      <c r="H2" s="405"/>
      <c r="I2" s="405"/>
      <c r="J2" s="405"/>
      <c r="K2" s="405"/>
      <c r="L2" s="405"/>
      <c r="M2" s="405"/>
      <c r="N2" s="405"/>
    </row>
    <row r="3" spans="1:20" ht="15.6">
      <c r="A3" s="282" t="s">
        <v>0</v>
      </c>
      <c r="B3" s="442"/>
      <c r="C3" s="442"/>
      <c r="D3" s="442"/>
      <c r="E3" s="442"/>
      <c r="F3" s="442"/>
      <c r="G3" s="455"/>
      <c r="H3" s="456" t="s">
        <v>7</v>
      </c>
      <c r="I3" s="457"/>
      <c r="J3" s="457"/>
      <c r="K3" s="457"/>
      <c r="L3" s="457"/>
      <c r="M3" s="457"/>
      <c r="N3" s="457"/>
      <c r="S3" s="80" t="s">
        <v>486</v>
      </c>
    </row>
    <row r="4" spans="1:20" ht="13.5" customHeight="1">
      <c r="A4" s="462" t="s">
        <v>1</v>
      </c>
      <c r="B4" s="462"/>
      <c r="C4" s="462"/>
      <c r="D4" s="18"/>
      <c r="E4" s="463" t="s">
        <v>647</v>
      </c>
      <c r="F4" s="464"/>
      <c r="G4" s="465"/>
      <c r="H4" s="466" t="s">
        <v>8</v>
      </c>
      <c r="I4" s="462"/>
      <c r="J4" s="467"/>
      <c r="K4" s="463" t="s">
        <v>162</v>
      </c>
      <c r="L4" s="464"/>
      <c r="M4" s="464"/>
      <c r="N4" s="464"/>
    </row>
    <row r="5" spans="1:20" ht="12.75" customHeight="1">
      <c r="A5" s="442" t="s">
        <v>2</v>
      </c>
      <c r="B5" s="442"/>
      <c r="C5" s="442"/>
      <c r="D5" s="14"/>
      <c r="E5" s="458" t="s">
        <v>648</v>
      </c>
      <c r="F5" s="459"/>
      <c r="G5" s="460"/>
      <c r="H5" s="461" t="s">
        <v>70</v>
      </c>
      <c r="I5" s="442"/>
      <c r="J5" s="455"/>
      <c r="K5" s="458" t="s">
        <v>616</v>
      </c>
      <c r="L5" s="459"/>
      <c r="M5" s="459"/>
      <c r="N5" s="459"/>
      <c r="S5" s="20" t="s">
        <v>487</v>
      </c>
      <c r="T5" s="22">
        <f>IF($J$22&gt;0,IF($J$9="3ST",1,IF($J$9="4ST",1,IF($J$23="Permissive",1,IF($J$23="Protected",0.94,0.99)))),1)</f>
        <v>1</v>
      </c>
    </row>
    <row r="6" spans="1:20" ht="14.25" customHeight="1">
      <c r="A6" s="442" t="s">
        <v>3</v>
      </c>
      <c r="B6" s="442"/>
      <c r="C6" s="442"/>
      <c r="D6" s="14"/>
      <c r="E6" s="468">
        <f ca="1">TODAY()</f>
        <v>45350</v>
      </c>
      <c r="F6" s="469"/>
      <c r="G6" s="470"/>
      <c r="H6" s="461" t="s">
        <v>10</v>
      </c>
      <c r="I6" s="442"/>
      <c r="J6" s="455"/>
      <c r="K6" s="458" t="s">
        <v>164</v>
      </c>
      <c r="L6" s="459"/>
      <c r="M6" s="459"/>
      <c r="N6" s="459"/>
      <c r="S6" s="20" t="s">
        <v>488</v>
      </c>
      <c r="T6" s="22">
        <f>IF($J$22&gt;1,IF($J$9="3ST",1,IF($J$9="4ST",1,IF($J$24="Permissive",1,IF($J$24="Protected",0.94,0.99)))),1)</f>
        <v>1</v>
      </c>
    </row>
    <row r="7" spans="1:20">
      <c r="A7" s="473"/>
      <c r="B7" s="473"/>
      <c r="C7" s="473"/>
      <c r="D7" s="19"/>
      <c r="E7" s="461"/>
      <c r="F7" s="442"/>
      <c r="G7" s="455"/>
      <c r="H7" s="461" t="s">
        <v>11</v>
      </c>
      <c r="I7" s="442"/>
      <c r="J7" s="455"/>
      <c r="K7" s="474">
        <v>2010</v>
      </c>
      <c r="L7" s="475"/>
      <c r="M7" s="475"/>
      <c r="N7" s="475"/>
      <c r="S7" s="20" t="s">
        <v>489</v>
      </c>
      <c r="T7" s="22">
        <f>IF($J$22&gt;2,IF($J$9="3ST",1,IF($J$9="4ST",1,IF($J$25="Permissive",1,IF($J$25="Protected",0.94,0.99)))),1)</f>
        <v>1</v>
      </c>
    </row>
    <row r="8" spans="1:20">
      <c r="A8" s="471" t="s">
        <v>4</v>
      </c>
      <c r="B8" s="449"/>
      <c r="C8" s="449"/>
      <c r="D8" s="449"/>
      <c r="E8" s="449"/>
      <c r="F8" s="449"/>
      <c r="G8" s="336"/>
      <c r="H8" s="472" t="s">
        <v>12</v>
      </c>
      <c r="I8" s="336"/>
      <c r="J8" s="472" t="s">
        <v>14</v>
      </c>
      <c r="K8" s="449"/>
      <c r="L8" s="449"/>
      <c r="M8" s="449"/>
      <c r="N8" s="449"/>
      <c r="S8" s="20" t="s">
        <v>490</v>
      </c>
      <c r="T8" s="22">
        <f>IF($J$9="3SG",1,IF($J$9="3ST",1,IF($J$9="4ST",1,IF($J$26="Permissive",1,IF($J$26="Protected",0.94,0.99)))))</f>
        <v>1</v>
      </c>
    </row>
    <row r="9" spans="1:20" ht="13.8" thickBot="1">
      <c r="A9" s="448" t="s">
        <v>354</v>
      </c>
      <c r="B9" s="449"/>
      <c r="C9" s="449"/>
      <c r="D9" s="449"/>
      <c r="E9" s="449"/>
      <c r="F9" s="449"/>
      <c r="G9" s="336"/>
      <c r="H9" s="478" t="s">
        <v>13</v>
      </c>
      <c r="I9" s="467"/>
      <c r="J9" s="798" t="s">
        <v>73</v>
      </c>
      <c r="K9" s="480"/>
      <c r="L9" s="480"/>
      <c r="M9" s="480"/>
      <c r="N9" s="480"/>
      <c r="O9" s="276" t="str">
        <f>IF($J$9="3ST","Unsignalized three-leg intersection (stop control on minor-road approaches)",IF($J$9="3SG","Signalized three-leg intersection",IF($J$9="4ST","Unsignalized four-leg intersection (stop control on minor-road approaches)","Signalized four-leg intersection")))</f>
        <v>Unsignalized three-leg intersection (stop control on minor-road approaches)</v>
      </c>
      <c r="S9" s="20" t="s">
        <v>491</v>
      </c>
      <c r="T9" s="11">
        <f>T5*T6*T7*T8</f>
        <v>1</v>
      </c>
    </row>
    <row r="10" spans="1:20" ht="16.2" thickBot="1">
      <c r="A10" s="448" t="s">
        <v>355</v>
      </c>
      <c r="B10" s="448"/>
      <c r="C10" s="448"/>
      <c r="D10" s="801" t="s">
        <v>761</v>
      </c>
      <c r="E10" s="144" t="s">
        <v>625</v>
      </c>
      <c r="F10" s="146">
        <f>IF($J$9="3ST",45700,IF($J$9="4ST",46800,IF($J$9="3SG",58100,67700)))</f>
        <v>45700</v>
      </c>
      <c r="G10" s="145" t="s">
        <v>763</v>
      </c>
      <c r="H10" s="454" t="s">
        <v>13</v>
      </c>
      <c r="I10" s="336"/>
      <c r="J10" s="799">
        <v>14000</v>
      </c>
      <c r="K10" s="800"/>
      <c r="L10" s="800"/>
      <c r="M10" s="800"/>
      <c r="N10" s="800"/>
      <c r="O10" s="104" t="str">
        <f>IF(J10&gt;F10,"AADT out of range","AADT OK")</f>
        <v>AADT OK</v>
      </c>
    </row>
    <row r="11" spans="1:20" ht="16.2" thickBot="1">
      <c r="A11" s="448" t="s">
        <v>356</v>
      </c>
      <c r="B11" s="448"/>
      <c r="C11" s="448"/>
      <c r="D11" s="802"/>
      <c r="E11" s="144" t="s">
        <v>625</v>
      </c>
      <c r="F11" s="146">
        <f>IF($J$9="3ST",9300,IF($J$9="4ST",5900,IF($J$9="3SG",16400,33400)))</f>
        <v>9300</v>
      </c>
      <c r="G11" s="145" t="s">
        <v>763</v>
      </c>
      <c r="H11" s="454" t="s">
        <v>13</v>
      </c>
      <c r="I11" s="336"/>
      <c r="J11" s="482">
        <v>4000</v>
      </c>
      <c r="K11" s="483"/>
      <c r="L11" s="483"/>
      <c r="M11" s="483"/>
      <c r="N11" s="483"/>
      <c r="O11" s="104" t="str">
        <f>IF(J11&gt;F11,"AADT out of range","AADT OK")</f>
        <v>AADT OK</v>
      </c>
    </row>
    <row r="12" spans="1:20">
      <c r="A12" s="487" t="s">
        <v>743</v>
      </c>
      <c r="B12" s="487"/>
      <c r="C12" s="487"/>
      <c r="D12" s="487"/>
      <c r="E12" s="487"/>
      <c r="F12" s="487"/>
      <c r="G12" s="803"/>
      <c r="H12" s="454" t="s">
        <v>13</v>
      </c>
      <c r="I12" s="336"/>
      <c r="J12" s="486" t="s">
        <v>642</v>
      </c>
      <c r="K12" s="486"/>
      <c r="L12" s="486"/>
      <c r="M12" s="486"/>
      <c r="N12" s="486"/>
      <c r="O12" s="104"/>
    </row>
    <row r="13" spans="1:20">
      <c r="A13" s="487" t="s">
        <v>650</v>
      </c>
      <c r="B13" s="487"/>
      <c r="C13" s="487"/>
      <c r="D13" s="487"/>
      <c r="E13" s="487"/>
      <c r="F13" s="487"/>
      <c r="G13" s="803"/>
      <c r="H13" s="454" t="s">
        <v>13</v>
      </c>
      <c r="I13" s="336"/>
      <c r="J13" s="486" t="s">
        <v>180</v>
      </c>
      <c r="K13" s="486"/>
      <c r="L13" s="486"/>
      <c r="M13" s="486"/>
      <c r="N13" s="486"/>
      <c r="O13" s="276" t="str">
        <f>IF($J$13="2U","Two-lane undivided arterials",IF($J$13="3T","Three-lane arterials including a center two-way left-turn lane (TWLTL)", IF($J$13="4U","Four-lane undivided arterials", IF($J$13="4D", "Four-lane divided arterials (i.e., including a raised or depressed median)","Five-lane arterials including a center two-way left-turn lane (TWLTL)"))))</f>
        <v>Three-lane arterials including a center two-way left-turn lane (TWLTL)</v>
      </c>
    </row>
    <row r="14" spans="1:20">
      <c r="A14" s="448" t="s">
        <v>71</v>
      </c>
      <c r="B14" s="449"/>
      <c r="C14" s="449"/>
      <c r="D14" s="449"/>
      <c r="E14" s="449"/>
      <c r="F14" s="449"/>
      <c r="G14" s="336"/>
      <c r="H14" s="438" t="s">
        <v>57</v>
      </c>
      <c r="I14" s="336"/>
      <c r="J14" s="486" t="s">
        <v>57</v>
      </c>
      <c r="K14" s="486"/>
      <c r="L14" s="486"/>
      <c r="M14" s="486"/>
      <c r="N14" s="486"/>
    </row>
    <row r="15" spans="1:20" ht="15.6">
      <c r="A15" s="448" t="s">
        <v>744</v>
      </c>
      <c r="B15" s="449"/>
      <c r="C15" s="449"/>
      <c r="D15" s="449"/>
      <c r="E15" s="449"/>
      <c r="F15" s="449"/>
      <c r="G15" s="336"/>
      <c r="H15" s="804">
        <v>1</v>
      </c>
      <c r="I15" s="805"/>
      <c r="J15" s="806">
        <v>1</v>
      </c>
      <c r="K15" s="807"/>
      <c r="L15" s="807"/>
      <c r="M15" s="807"/>
      <c r="N15" s="807"/>
      <c r="S15" s="80" t="s">
        <v>492</v>
      </c>
    </row>
    <row r="16" spans="1:20">
      <c r="A16" s="448" t="s">
        <v>357</v>
      </c>
      <c r="B16" s="449"/>
      <c r="C16" s="449"/>
      <c r="D16" s="449"/>
      <c r="E16" s="449"/>
      <c r="F16" s="449"/>
      <c r="G16" s="336"/>
      <c r="H16" s="454" t="s">
        <v>13</v>
      </c>
      <c r="I16" s="336"/>
      <c r="J16" s="537" t="s">
        <v>13</v>
      </c>
      <c r="K16" s="449"/>
      <c r="L16" s="449"/>
      <c r="M16" s="449"/>
      <c r="N16" s="449"/>
    </row>
    <row r="17" spans="1:22" ht="15.6">
      <c r="A17" s="793" t="str">
        <f>"Number of major-road approaches with left-turn lanes (0,1"&amp;IF(LEFT($J$9,1)="4",",2)",")")</f>
        <v>Number of major-road approaches with left-turn lanes (0,1)</v>
      </c>
      <c r="B17" s="794"/>
      <c r="C17" s="794"/>
      <c r="D17" s="794"/>
      <c r="E17" s="794"/>
      <c r="F17" s="794"/>
      <c r="G17" s="795"/>
      <c r="H17" s="454">
        <v>0</v>
      </c>
      <c r="I17" s="336"/>
      <c r="J17" s="485">
        <v>1</v>
      </c>
      <c r="K17" s="796"/>
      <c r="L17" s="796"/>
      <c r="M17" s="796"/>
      <c r="N17" s="796"/>
      <c r="S17" s="96" t="s">
        <v>493</v>
      </c>
      <c r="T17" s="24">
        <f>IF('Intersection Tables'!$C$41="No",(IF($J$9="3ST",'Intersection Tables'!$D$46,IF($J$9="3SG",'Intersection Tables'!$F$46,IF($J$9="4ST",'Intersection Tables'!$H$46,'Intersection Tables'!$J$46)))),(IF($J$9="3ST",'Intersection Tables'!$D$54,IF($J$9="3SG",'Intersection Tables'!$F$54,IF($J$9="4ST",'Intersection Tables'!$H$54,'Intersection Tables'!$J$54)))))</f>
        <v>0.56799999999999995</v>
      </c>
      <c r="U17" s="96" t="s">
        <v>499</v>
      </c>
      <c r="V17" s="24">
        <f>IF('Intersection Tables'!$C$41="No",(IF($J$9="3ST",'Intersection Tables'!$D$44,IF($J$9="3SG",'Intersection Tables'!$F$44,IF($J$9="4ST",'Intersection Tables'!$H$44,'Intersection Tables'!$J$44)))),(IF($J$9="3ST",'Intersection Tables'!$D$52,IF($J$9="3SG",'Intersection Tables'!$F$52,IF($J$9="4ST",'Intersection Tables'!$H$52,'Intersection Tables'!$J$52)))))</f>
        <v>5.4000000000000006E-2</v>
      </c>
    </row>
    <row r="18" spans="1:22" ht="15.6">
      <c r="A18" s="793" t="str">
        <f>"Number of major-road approaches with right-turn lanes (0,1"&amp;IF(LEFT($J$9,1)="4",",2)",")")</f>
        <v>Number of major-road approaches with right-turn lanes (0,1)</v>
      </c>
      <c r="B18" s="794"/>
      <c r="C18" s="794"/>
      <c r="D18" s="794"/>
      <c r="E18" s="794"/>
      <c r="F18" s="794"/>
      <c r="G18" s="795"/>
      <c r="H18" s="454">
        <v>0</v>
      </c>
      <c r="I18" s="336"/>
      <c r="J18" s="485">
        <v>0</v>
      </c>
      <c r="K18" s="796"/>
      <c r="L18" s="796"/>
      <c r="M18" s="796"/>
      <c r="N18" s="796"/>
      <c r="S18" s="96" t="s">
        <v>494</v>
      </c>
      <c r="T18" s="24">
        <f>IF('Intersection Tables'!$C$41="No",(IF($J$9="3ST",'Intersection Tables'!$E$46,IF($J$9="3SG",'Intersection Tables'!$G$46,IF($J$9="4ST",'Intersection Tables'!$I$46,'Intersection Tables'!$K$46)))),(IF($J$9="3ST",'Intersection Tables'!$E$54,IF($J$9="3SG",'Intersection Tables'!$G$54,IF($J$9="4ST",'Intersection Tables'!$I$54,'Intersection Tables'!$K$54)))))</f>
        <v>0.55399999999999994</v>
      </c>
      <c r="U18" s="96" t="s">
        <v>500</v>
      </c>
      <c r="V18" s="24">
        <f>IF('Intersection Tables'!$C$41="No",(IF($J$9="3ST",'Intersection Tables'!$E$44,IF($J$9="3SG",'Intersection Tables'!$G$44,IF($J$9="4ST",'Intersection Tables'!$I$44,'Intersection Tables'!$K$44)))),(IF($J$9="3ST",'Intersection Tables'!$E$52,IF($J$9="3SG",'Intersection Tables'!$G$52,IF($J$9="4ST",'Intersection Tables'!$I$52,'Intersection Tables'!$K$52)))))</f>
        <v>5.7000000000000002E-2</v>
      </c>
    </row>
    <row r="19" spans="1:22" ht="15.6">
      <c r="A19" s="448" t="s">
        <v>479</v>
      </c>
      <c r="B19" s="449"/>
      <c r="C19" s="449"/>
      <c r="D19" s="449"/>
      <c r="E19" s="449"/>
      <c r="F19" s="449"/>
      <c r="G19" s="336"/>
      <c r="H19" s="454" t="s">
        <v>13</v>
      </c>
      <c r="I19" s="336"/>
      <c r="J19" s="537" t="s">
        <v>13</v>
      </c>
      <c r="K19" s="449"/>
      <c r="L19" s="449"/>
      <c r="M19" s="449"/>
      <c r="N19" s="449"/>
      <c r="S19" s="96" t="s">
        <v>495</v>
      </c>
      <c r="T19" s="24">
        <f>+$K$54</f>
        <v>0.68894505727637434</v>
      </c>
      <c r="U19" s="96" t="s">
        <v>495</v>
      </c>
      <c r="V19" s="24">
        <f>+$K$54</f>
        <v>0.68894505727637434</v>
      </c>
    </row>
    <row r="20" spans="1:22" ht="15.6">
      <c r="A20" s="793" t="str">
        <f>"Number of approaches with left-turn lanes (0,1,2"&amp;IF(LEFT($J$9,1)="4",",3,4)",")")</f>
        <v>Number of approaches with left-turn lanes (0,1,2)</v>
      </c>
      <c r="B20" s="794"/>
      <c r="C20" s="794"/>
      <c r="D20" s="794"/>
      <c r="E20" s="794"/>
      <c r="F20" s="794"/>
      <c r="G20" s="795"/>
      <c r="H20" s="454">
        <v>0</v>
      </c>
      <c r="I20" s="336"/>
      <c r="J20" s="485">
        <v>0</v>
      </c>
      <c r="K20" s="796"/>
      <c r="L20" s="796"/>
      <c r="M20" s="796"/>
      <c r="N20" s="796"/>
      <c r="S20" s="96" t="s">
        <v>496</v>
      </c>
      <c r="T20" s="24">
        <f>+$K$56</f>
        <v>1.3022256284934939</v>
      </c>
      <c r="U20" s="96" t="s">
        <v>496</v>
      </c>
      <c r="V20" s="24">
        <f>+$K$56</f>
        <v>1.3022256284934939</v>
      </c>
    </row>
    <row r="21" spans="1:22" ht="15.6">
      <c r="A21" s="793" t="str">
        <f>"Number of approaches with right-turn lanes (0,1,2"&amp;IF(LEFT($J$9,1)="4",",3,4)",")")</f>
        <v>Number of approaches with right-turn lanes (0,1,2)</v>
      </c>
      <c r="B21" s="794"/>
      <c r="C21" s="794"/>
      <c r="D21" s="794"/>
      <c r="E21" s="794"/>
      <c r="F21" s="794"/>
      <c r="G21" s="795"/>
      <c r="H21" s="454">
        <v>0</v>
      </c>
      <c r="I21" s="336"/>
      <c r="J21" s="485">
        <v>0</v>
      </c>
      <c r="K21" s="796"/>
      <c r="L21" s="796"/>
      <c r="M21" s="796"/>
      <c r="N21" s="796"/>
      <c r="S21" s="96" t="s">
        <v>497</v>
      </c>
      <c r="T21" s="24">
        <f>+$H$85</f>
        <v>0.32940950329991198</v>
      </c>
      <c r="U21" s="96" t="s">
        <v>497</v>
      </c>
      <c r="V21" s="24">
        <f>+$H$85</f>
        <v>0.32940950329991198</v>
      </c>
    </row>
    <row r="22" spans="1:22" ht="15.6">
      <c r="A22" s="793" t="str">
        <f>"Number of approaches with left-turn signal phasing (0,1,2"&amp;IF(LEFT($J$9,1)="4",",3,4)",")")</f>
        <v>Number of approaches with left-turn signal phasing (0,1,2)</v>
      </c>
      <c r="B22" s="794"/>
      <c r="C22" s="794"/>
      <c r="D22" s="794"/>
      <c r="E22" s="794"/>
      <c r="F22" s="794"/>
      <c r="G22" s="795"/>
      <c r="H22" s="454" t="s">
        <v>13</v>
      </c>
      <c r="I22" s="336"/>
      <c r="J22" s="485">
        <v>0</v>
      </c>
      <c r="K22" s="796"/>
      <c r="L22" s="796"/>
      <c r="M22" s="796"/>
      <c r="N22" s="796"/>
      <c r="S22" s="96" t="s">
        <v>498</v>
      </c>
      <c r="T22" s="24">
        <f>((+T17*T19)+(+T18*T20))/(+T19+T20+T21)</f>
        <v>0.47951533670742524</v>
      </c>
      <c r="U22" s="96" t="s">
        <v>501</v>
      </c>
      <c r="V22" s="24">
        <f>((+V17*V19)+(+V18*V20))/(+V19+V20+V21)</f>
        <v>4.8018118245558572E-2</v>
      </c>
    </row>
    <row r="23" spans="1:22">
      <c r="A23" s="793" t="s">
        <v>484</v>
      </c>
      <c r="B23" s="794"/>
      <c r="C23" s="794"/>
      <c r="D23" s="794"/>
      <c r="E23" s="794"/>
      <c r="F23" s="794"/>
      <c r="G23" s="795"/>
      <c r="H23" s="438" t="s">
        <v>363</v>
      </c>
      <c r="I23" s="336"/>
      <c r="J23" s="485" t="s">
        <v>482</v>
      </c>
      <c r="K23" s="796"/>
      <c r="L23" s="796"/>
      <c r="M23" s="796"/>
      <c r="N23" s="796"/>
    </row>
    <row r="24" spans="1:22" ht="15.6">
      <c r="A24" s="793" t="s">
        <v>485</v>
      </c>
      <c r="B24" s="794"/>
      <c r="C24" s="794"/>
      <c r="D24" s="794"/>
      <c r="E24" s="794"/>
      <c r="F24" s="794"/>
      <c r="G24" s="795"/>
      <c r="H24" s="454" t="s">
        <v>13</v>
      </c>
      <c r="I24" s="336"/>
      <c r="J24" s="485" t="s">
        <v>482</v>
      </c>
      <c r="K24" s="796"/>
      <c r="L24" s="796"/>
      <c r="M24" s="796"/>
      <c r="N24" s="796"/>
      <c r="S24" s="96" t="s">
        <v>502</v>
      </c>
      <c r="T24" s="11">
        <f>1-(T22*(1-0.74))-(V22*(1-1.18))</f>
        <v>0.88396927374027001</v>
      </c>
    </row>
    <row r="25" spans="1:22">
      <c r="A25" s="793" t="s">
        <v>803</v>
      </c>
      <c r="B25" s="793"/>
      <c r="C25" s="793"/>
      <c r="D25" s="793"/>
      <c r="E25" s="793"/>
      <c r="F25" s="793"/>
      <c r="G25" s="797"/>
      <c r="H25" s="454" t="s">
        <v>13</v>
      </c>
      <c r="I25" s="336"/>
      <c r="J25" s="485" t="s">
        <v>482</v>
      </c>
      <c r="K25" s="796"/>
      <c r="L25" s="796"/>
      <c r="M25" s="796"/>
      <c r="N25" s="796"/>
    </row>
    <row r="26" spans="1:22">
      <c r="A26" s="793" t="s">
        <v>483</v>
      </c>
      <c r="B26" s="794"/>
      <c r="C26" s="794"/>
      <c r="D26" s="794"/>
      <c r="E26" s="794"/>
      <c r="F26" s="794"/>
      <c r="G26" s="795"/>
      <c r="H26" s="454" t="s">
        <v>13</v>
      </c>
      <c r="I26" s="336"/>
      <c r="J26" s="485" t="s">
        <v>482</v>
      </c>
      <c r="K26" s="796"/>
      <c r="L26" s="796"/>
      <c r="M26" s="796"/>
      <c r="N26" s="796"/>
    </row>
    <row r="27" spans="1:22">
      <c r="A27" s="793" t="str">
        <f>"Number of approaches with right-turn-on-red prohibited (0,1,2"&amp;IF(LEFT($J$9,1)="4",",3,4)",")")</f>
        <v>Number of approaches with right-turn-on-red prohibited (0,1,2)</v>
      </c>
      <c r="B27" s="794"/>
      <c r="C27" s="794"/>
      <c r="D27" s="794"/>
      <c r="E27" s="794"/>
      <c r="F27" s="794"/>
      <c r="G27" s="795"/>
      <c r="H27" s="454">
        <v>0</v>
      </c>
      <c r="I27" s="336"/>
      <c r="J27" s="485">
        <v>0</v>
      </c>
      <c r="K27" s="796"/>
      <c r="L27" s="796"/>
      <c r="M27" s="796"/>
      <c r="N27" s="796"/>
    </row>
    <row r="28" spans="1:22">
      <c r="A28" s="793" t="s">
        <v>362</v>
      </c>
      <c r="B28" s="794"/>
      <c r="C28" s="794"/>
      <c r="D28" s="794"/>
      <c r="E28" s="794"/>
      <c r="F28" s="794"/>
      <c r="G28" s="795"/>
      <c r="H28" s="438" t="s">
        <v>57</v>
      </c>
      <c r="I28" s="336"/>
      <c r="J28" s="486" t="s">
        <v>57</v>
      </c>
      <c r="K28" s="486"/>
      <c r="L28" s="486"/>
      <c r="M28" s="486"/>
      <c r="N28" s="486"/>
    </row>
    <row r="29" spans="1:22">
      <c r="A29" s="793" t="s">
        <v>762</v>
      </c>
      <c r="B29" s="794"/>
      <c r="C29" s="794"/>
      <c r="D29" s="794"/>
      <c r="E29" s="794"/>
      <c r="F29" s="794"/>
      <c r="G29" s="795"/>
      <c r="H29" s="454"/>
      <c r="I29" s="336"/>
      <c r="J29" s="482">
        <v>10</v>
      </c>
      <c r="K29" s="483"/>
      <c r="L29" s="483"/>
      <c r="M29" s="483"/>
      <c r="N29" s="483"/>
    </row>
    <row r="30" spans="1:22" ht="15.6">
      <c r="A30" s="793" t="s">
        <v>361</v>
      </c>
      <c r="B30" s="794"/>
      <c r="C30" s="794"/>
      <c r="D30" s="794"/>
      <c r="E30" s="794"/>
      <c r="F30" s="794"/>
      <c r="G30" s="795"/>
      <c r="H30" s="454" t="s">
        <v>13</v>
      </c>
      <c r="I30" s="336"/>
      <c r="J30" s="433">
        <v>0</v>
      </c>
      <c r="K30" s="453"/>
      <c r="L30" s="453"/>
      <c r="M30" s="453"/>
      <c r="N30" s="453"/>
    </row>
    <row r="31" spans="1:22">
      <c r="A31" s="793" t="s">
        <v>360</v>
      </c>
      <c r="B31" s="794"/>
      <c r="C31" s="794"/>
      <c r="D31" s="794"/>
      <c r="E31" s="794"/>
      <c r="F31" s="794"/>
      <c r="G31" s="795"/>
      <c r="H31" s="438">
        <v>0</v>
      </c>
      <c r="I31" s="286"/>
      <c r="J31" s="433">
        <v>0</v>
      </c>
      <c r="K31" s="434"/>
      <c r="L31" s="434"/>
      <c r="M31" s="434"/>
      <c r="N31" s="434"/>
    </row>
    <row r="32" spans="1:22">
      <c r="A32" s="793" t="s">
        <v>359</v>
      </c>
      <c r="B32" s="794"/>
      <c r="C32" s="794"/>
      <c r="D32" s="794"/>
      <c r="E32" s="794"/>
      <c r="F32" s="794"/>
      <c r="G32" s="795"/>
      <c r="H32" s="438" t="s">
        <v>57</v>
      </c>
      <c r="I32" s="286"/>
      <c r="J32" s="486" t="s">
        <v>57</v>
      </c>
      <c r="K32" s="486"/>
      <c r="L32" s="486"/>
      <c r="M32" s="486"/>
      <c r="N32" s="486"/>
    </row>
    <row r="33" spans="1:14" ht="13.8" thickBot="1">
      <c r="A33" s="786" t="s">
        <v>358</v>
      </c>
      <c r="B33" s="787"/>
      <c r="C33" s="787"/>
      <c r="D33" s="787"/>
      <c r="E33" s="787"/>
      <c r="F33" s="787"/>
      <c r="G33" s="788"/>
      <c r="H33" s="789">
        <v>0</v>
      </c>
      <c r="I33" s="790"/>
      <c r="J33" s="791">
        <v>0</v>
      </c>
      <c r="K33" s="792"/>
      <c r="L33" s="792"/>
      <c r="M33" s="792"/>
      <c r="N33" s="792"/>
    </row>
    <row r="34" spans="1:14" ht="13.8" thickTop="1"/>
    <row r="36" spans="1:14" ht="13.8" thickBot="1"/>
    <row r="37" spans="1:14" ht="14.4" thickTop="1" thickBot="1">
      <c r="A37" s="302" t="s">
        <v>365</v>
      </c>
      <c r="B37" s="358"/>
      <c r="C37" s="358"/>
      <c r="D37" s="358"/>
      <c r="E37" s="358"/>
      <c r="F37" s="358"/>
      <c r="G37" s="358"/>
      <c r="H37" s="358"/>
      <c r="I37" s="358"/>
      <c r="J37" s="358"/>
      <c r="K37" s="358"/>
      <c r="L37" s="358"/>
      <c r="M37" s="358"/>
      <c r="N37" s="358"/>
    </row>
    <row r="38" spans="1:14">
      <c r="A38" s="297" t="s">
        <v>15</v>
      </c>
      <c r="B38" s="298"/>
      <c r="C38" s="406" t="s">
        <v>16</v>
      </c>
      <c r="D38" s="298"/>
      <c r="E38" s="406" t="s">
        <v>17</v>
      </c>
      <c r="F38" s="298"/>
      <c r="G38" s="406" t="s">
        <v>18</v>
      </c>
      <c r="H38" s="298"/>
      <c r="I38" s="406" t="s">
        <v>19</v>
      </c>
      <c r="J38" s="298"/>
      <c r="K38" s="406" t="s">
        <v>20</v>
      </c>
      <c r="L38" s="298"/>
      <c r="M38" s="287" t="s">
        <v>21</v>
      </c>
      <c r="N38" s="351"/>
    </row>
    <row r="39" spans="1:14">
      <c r="A39" s="446" t="s">
        <v>79</v>
      </c>
      <c r="B39" s="421"/>
      <c r="C39" s="446" t="s">
        <v>367</v>
      </c>
      <c r="D39" s="421"/>
      <c r="E39" s="446" t="s">
        <v>80</v>
      </c>
      <c r="F39" s="421"/>
      <c r="G39" s="446" t="s">
        <v>370</v>
      </c>
      <c r="H39" s="421"/>
      <c r="I39" s="446" t="s">
        <v>28</v>
      </c>
      <c r="J39" s="421"/>
      <c r="K39" s="446" t="s">
        <v>377</v>
      </c>
      <c r="L39" s="421"/>
      <c r="M39" s="435" t="s">
        <v>81</v>
      </c>
      <c r="N39" s="436"/>
    </row>
    <row r="40" spans="1:14">
      <c r="A40" s="447"/>
      <c r="B40" s="422"/>
      <c r="C40" s="447"/>
      <c r="D40" s="422"/>
      <c r="E40" s="447"/>
      <c r="F40" s="422"/>
      <c r="G40" s="447"/>
      <c r="H40" s="422"/>
      <c r="I40" s="447"/>
      <c r="J40" s="422"/>
      <c r="K40" s="447"/>
      <c r="L40" s="422"/>
      <c r="M40" s="422"/>
      <c r="N40" s="437"/>
    </row>
    <row r="41" spans="1:14" ht="15.6">
      <c r="A41" s="445" t="s">
        <v>366</v>
      </c>
      <c r="B41" s="334"/>
      <c r="C41" s="445" t="s">
        <v>368</v>
      </c>
      <c r="D41" s="334"/>
      <c r="E41" s="445" t="s">
        <v>369</v>
      </c>
      <c r="F41" s="334"/>
      <c r="G41" s="445" t="s">
        <v>371</v>
      </c>
      <c r="H41" s="334"/>
      <c r="I41" s="445" t="s">
        <v>373</v>
      </c>
      <c r="J41" s="334"/>
      <c r="K41" s="445" t="s">
        <v>375</v>
      </c>
      <c r="L41" s="334"/>
      <c r="M41" s="413" t="s">
        <v>378</v>
      </c>
      <c r="N41" s="357"/>
    </row>
    <row r="42" spans="1:14">
      <c r="A42" s="443" t="s">
        <v>603</v>
      </c>
      <c r="B42" s="291"/>
      <c r="C42" s="443" t="s">
        <v>604</v>
      </c>
      <c r="D42" s="291"/>
      <c r="E42" s="443" t="s">
        <v>605</v>
      </c>
      <c r="F42" s="291"/>
      <c r="G42" s="443" t="s">
        <v>372</v>
      </c>
      <c r="H42" s="291"/>
      <c r="I42" s="443" t="s">
        <v>374</v>
      </c>
      <c r="J42" s="291"/>
      <c r="K42" s="443" t="s">
        <v>376</v>
      </c>
      <c r="L42" s="291"/>
      <c r="M42" s="444" t="s">
        <v>379</v>
      </c>
      <c r="N42" s="285"/>
    </row>
    <row r="43" spans="1:14" ht="13.8" thickBot="1">
      <c r="A43" s="419">
        <f>IF(J9="3ST",IF(J17=0,1,IF(J17=1,'Intersection Tables'!AB10,'Intersection Tables'!AC10)),IF(J9="4ST",IF(J17=0,1,IF(J17=1,'Intersection Tables'!AB12,'Intersection Tables'!AC12)),IF(J20=0,1,IF(J20=1,VLOOKUP(J9,'Intersection Tables'!Y11:AE13,4,FALSE),IF(J20=2,VLOOKUP(J9,'Intersection Tables'!Y11:AE13,5,FALSE),IF(J20=3,VLOOKUP(J9,'Intersection Tables'!Y11:AE13,6,FALSE),VLOOKUP(J9,'Intersection Tables'!Y11:AE13,7,FALSE)))))))</f>
        <v>0.67</v>
      </c>
      <c r="B43" s="439"/>
      <c r="C43" s="419">
        <f>IF($J$9="3ST",1,IF($J$9="4ST",1,T9))</f>
        <v>1</v>
      </c>
      <c r="D43" s="439"/>
      <c r="E43" s="419">
        <f>IF(J9="3ST",POWER(0.86,J18),IF(J9="4ST",POWER(0.86,J18),POWER(0.96,J21)))</f>
        <v>1</v>
      </c>
      <c r="F43" s="439"/>
      <c r="G43" s="419">
        <f>IF($J$9="3ST",1,IF(J$9="4ST",1,POWER(0.98,$J$27)))</f>
        <v>1</v>
      </c>
      <c r="H43" s="439"/>
      <c r="I43" s="419">
        <f>IF($J$14="Not Present",1,(1-(IF('Intersection Tables'!$C$85="No",VLOOKUP($J$9,'Intersection Tables'!$B$88:$G$91,3,FALSE),VLOOKUP($J$9,'Intersection Tables'!$B$88:$G$91,5,FALSE)))*0.38))</f>
        <v>1</v>
      </c>
      <c r="J43" s="784"/>
      <c r="K43" s="419">
        <f>IF($J$28="Not Present",1,$T$24)</f>
        <v>1</v>
      </c>
      <c r="L43" s="784"/>
      <c r="M43" s="415">
        <f>+A43*C43*E43*G43*I43*K43</f>
        <v>0.67</v>
      </c>
      <c r="N43" s="785"/>
    </row>
    <row r="45" spans="1:14">
      <c r="A45" s="441"/>
      <c r="B45" s="442"/>
      <c r="E45" s="22"/>
    </row>
    <row r="46" spans="1:14" ht="13.8" thickBot="1"/>
    <row r="47" spans="1:14" ht="14.4" thickTop="1" thickBot="1">
      <c r="A47" s="302" t="s">
        <v>380</v>
      </c>
      <c r="B47" s="358"/>
      <c r="C47" s="358"/>
      <c r="D47" s="358"/>
      <c r="E47" s="358"/>
      <c r="F47" s="358"/>
      <c r="G47" s="358"/>
      <c r="H47" s="358"/>
      <c r="I47" s="358"/>
      <c r="J47" s="405"/>
      <c r="K47" s="405"/>
      <c r="L47" s="405"/>
      <c r="M47" s="405"/>
      <c r="N47" s="405"/>
    </row>
    <row r="48" spans="1:14">
      <c r="A48" s="297" t="s">
        <v>15</v>
      </c>
      <c r="B48" s="298"/>
      <c r="C48" s="556" t="s">
        <v>16</v>
      </c>
      <c r="D48" s="777"/>
      <c r="E48" s="604"/>
      <c r="F48" s="778" t="s">
        <v>17</v>
      </c>
      <c r="G48" s="604"/>
      <c r="H48" s="2" t="s">
        <v>18</v>
      </c>
      <c r="I48" s="349" t="s">
        <v>19</v>
      </c>
      <c r="J48" s="298"/>
      <c r="K48" s="2" t="s">
        <v>20</v>
      </c>
      <c r="L48" s="30" t="s">
        <v>21</v>
      </c>
      <c r="M48" s="30" t="s">
        <v>22</v>
      </c>
      <c r="N48" s="67" t="s">
        <v>23</v>
      </c>
    </row>
    <row r="49" spans="1:14" ht="13.2" customHeight="1">
      <c r="A49" s="430" t="s">
        <v>31</v>
      </c>
      <c r="B49" s="431"/>
      <c r="C49" s="643" t="s">
        <v>86</v>
      </c>
      <c r="D49" s="779"/>
      <c r="E49" s="780"/>
      <c r="F49" s="399" t="s">
        <v>684</v>
      </c>
      <c r="G49" s="400"/>
      <c r="H49" s="770" t="s">
        <v>381</v>
      </c>
      <c r="I49" s="338" t="s">
        <v>226</v>
      </c>
      <c r="J49" s="398"/>
      <c r="K49" s="403" t="s">
        <v>383</v>
      </c>
      <c r="L49" s="338" t="s">
        <v>33</v>
      </c>
      <c r="M49" s="338" t="s">
        <v>750</v>
      </c>
      <c r="N49" s="354" t="s">
        <v>384</v>
      </c>
    </row>
    <row r="50" spans="1:14" ht="13.2" customHeight="1">
      <c r="A50" s="432"/>
      <c r="B50" s="432"/>
      <c r="C50" s="645"/>
      <c r="D50" s="781"/>
      <c r="E50" s="782"/>
      <c r="F50" s="401"/>
      <c r="G50" s="402"/>
      <c r="H50" s="783"/>
      <c r="I50" s="398"/>
      <c r="J50" s="398"/>
      <c r="K50" s="352"/>
      <c r="L50" s="352"/>
      <c r="M50" s="352"/>
      <c r="N50" s="354"/>
    </row>
    <row r="51" spans="1:14" ht="13.2" customHeight="1">
      <c r="A51" s="432"/>
      <c r="B51" s="432"/>
      <c r="C51" s="438" t="s">
        <v>606</v>
      </c>
      <c r="D51" s="631"/>
      <c r="E51" s="617"/>
      <c r="F51" s="319" t="s">
        <v>606</v>
      </c>
      <c r="G51" s="408"/>
      <c r="H51" s="499" t="s">
        <v>708</v>
      </c>
      <c r="I51" s="398"/>
      <c r="J51" s="398"/>
      <c r="K51" s="348" t="s">
        <v>230</v>
      </c>
      <c r="L51" s="411" t="s">
        <v>392</v>
      </c>
      <c r="M51" s="353"/>
      <c r="N51" s="319" t="s">
        <v>232</v>
      </c>
    </row>
    <row r="52" spans="1:14" ht="13.2" customHeight="1">
      <c r="A52" s="432"/>
      <c r="B52" s="432"/>
      <c r="C52" s="70" t="s">
        <v>87</v>
      </c>
      <c r="D52" s="70" t="s">
        <v>88</v>
      </c>
      <c r="E52" s="70" t="s">
        <v>382</v>
      </c>
      <c r="F52" s="409" t="s">
        <v>652</v>
      </c>
      <c r="G52" s="410"/>
      <c r="H52" s="760"/>
      <c r="I52" s="398"/>
      <c r="J52" s="398"/>
      <c r="K52" s="300"/>
      <c r="L52" s="352"/>
      <c r="M52" s="353"/>
      <c r="N52" s="412"/>
    </row>
    <row r="53" spans="1:14">
      <c r="A53" s="336" t="s">
        <v>34</v>
      </c>
      <c r="B53" s="357"/>
      <c r="C53" s="11">
        <f>IF('Intersection Tables'!$D$4="No",VLOOKUP($J$9,'Intersection Tables'!$B$10:$F$13,MATCH(C$52,'Intersection Tables'!$B$8:$F$8,0),FALSE),VLOOKUP($J$9,'Intersection Tables'!$G$10:$K$13,MATCH(C$52,'Intersection Tables'!$G$8:$K$8,0),FALSE))</f>
        <v>-14.492000000000001</v>
      </c>
      <c r="D53" s="11">
        <f>IF('Intersection Tables'!$D$4="No",VLOOKUP($J$9,'Intersection Tables'!$B$10:$F$13,MATCH(D$52,'Intersection Tables'!$B$8:$F$8,0),FALSE),VLOOKUP($J$9,'Intersection Tables'!$G$10:$K$13,MATCH(D$52,'Intersection Tables'!$G$8:$K$8,0),FALSE))</f>
        <v>1.26</v>
      </c>
      <c r="E53" s="11">
        <f>IF('Intersection Tables'!$D$4="No",VLOOKUP($J$9,'Intersection Tables'!$B$10:$F$13,MATCH(E$52,'Intersection Tables'!$B$8:$F$8,0),FALSE),VLOOKUP($J$9,'Intersection Tables'!$G$10:$K$13,MATCH(E$52,'Intersection Tables'!$G$8:$K$8,0),FALSE))</f>
        <v>0.38</v>
      </c>
      <c r="F53" s="390">
        <f>IF('Intersection Tables'!$D$4="No",VLOOKUP($J$9,'Intersection Tables'!$B$10:$F$13,MATCH(F$52,'Intersection Tables'!$B$8:$F$8,0),FALSE),VLOOKUP($J$9,'Intersection Tables'!$G$10:$K$13,MATCH(F$52,'Intersection Tables'!$G$8:$K$8,0),FALSE))</f>
        <v>0.81</v>
      </c>
      <c r="G53" s="391" t="e">
        <f>IF('Intersection Tables'!$D$4="No",VLOOKUP($J$9,'Intersection Tables'!$B$10:$F$13,MATCH(G$52,'Intersection Tables'!$B$8:$F$8,0),FALSE),VLOOKUP($J$9,'Intersection Tables'!$G$10:$K$13,MATCH(G$52,'Intersection Tables'!$G$8:$K$8,0),FALSE))</f>
        <v>#N/A</v>
      </c>
      <c r="H53" s="3">
        <f>EXP(C53+(D53*LN($J$10))+(E53*LN($J$11)))</f>
        <v>1.9911706857698683</v>
      </c>
      <c r="I53" s="295">
        <v>1</v>
      </c>
      <c r="J53" s="296"/>
      <c r="K53" s="3">
        <f>H53*I53</f>
        <v>1.9911706857698683</v>
      </c>
      <c r="L53" s="184">
        <f>+M43</f>
        <v>0.67</v>
      </c>
      <c r="M53" s="11">
        <f>$J$15*VLOOKUP(VLOOKUP($J$12,'Intersection Tables'!$U$29:$V$55,MATCH("Region",'Intersection Tables'!$U$29:$V$29,0),FALSE),'Intersection Tables'!$M$29:$R$34,MATCH($J$13,'Intersection Tables'!$M$29:$R$29,0),FALSE)</f>
        <v>1</v>
      </c>
      <c r="N53" s="185">
        <f>+K53*L53*M53</f>
        <v>1.3340843594658118</v>
      </c>
    </row>
    <row r="54" spans="1:14" ht="15.6">
      <c r="A54" s="383" t="s">
        <v>35</v>
      </c>
      <c r="B54" s="383"/>
      <c r="C54" s="364" t="str">
        <f>IF('Intersection Tables'!$D$4="No",VLOOKUP($J$9,'Intersection Tables'!$B$15:$F$18,MATCH(C$52,'Intersection Tables'!$B$8:$F$8,0),FALSE),"--")</f>
        <v>--</v>
      </c>
      <c r="D54" s="364" t="str">
        <f>IF('Intersection Tables'!$D$4="No",VLOOKUP($J$9,'Intersection Tables'!$B$15:$F$18,MATCH(D$52,'Intersection Tables'!$B$8:$F$8,0),FALSE),"--")</f>
        <v>--</v>
      </c>
      <c r="E54" s="364" t="str">
        <f>IF('Intersection Tables'!$D$4="No",VLOOKUP($J$9,'Intersection Tables'!$B$15:$F$18,MATCH(E$52,'Intersection Tables'!$B$8:$F$8,0),FALSE),"--")</f>
        <v>--</v>
      </c>
      <c r="F54" s="375" t="str">
        <f>IF('Intersection Tables'!$D$4="No",VLOOKUP($J$9,'Intersection Tables'!$B$15:$F$18,MATCH(F$52,'Intersection Tables'!$B$8:$F$8,0),FALSE),"--")</f>
        <v>--</v>
      </c>
      <c r="G54" s="376" t="str">
        <f>IF('Intersection Tables'!$D$4="No",VLOOKUP($J$9,'Intersection Tables'!$B$15:$F$18,MATCH(G$52,'Intersection Tables'!$B$8:$F$8,0),FALSE),"--")</f>
        <v>--</v>
      </c>
      <c r="H54" s="360">
        <f>IF('Intersection Tables'!$D$4="No",EXP(C54+(D54*LN($J$10))+(E54*LN($J$11))),H$53*HLOOKUP($J$9,'Intersection Tables'!$O$42:$R$49,6,FALSE)/100)</f>
        <v>0.68894505727637456</v>
      </c>
      <c r="I54" s="290" t="s">
        <v>233</v>
      </c>
      <c r="J54" s="291"/>
      <c r="K54" s="360">
        <f>H53*I55</f>
        <v>0.68894505727637434</v>
      </c>
      <c r="L54" s="362">
        <f>+M43</f>
        <v>0.67</v>
      </c>
      <c r="M54" s="364">
        <f>$J$15*VLOOKUP(VLOOKUP($J$12,'Intersection Tables'!$U$29:$V$55,MATCH("Region",'Intersection Tables'!$U$29:$V$29,0),FALSE),'Intersection Tables'!$M$29:$R$34,MATCH($J$13,'Intersection Tables'!$M$29:$R$29,0),FALSE)</f>
        <v>1</v>
      </c>
      <c r="N54" s="366">
        <f>+K54*L54*M54</f>
        <v>0.46159318837517083</v>
      </c>
    </row>
    <row r="55" spans="1:14">
      <c r="A55" s="384"/>
      <c r="B55" s="384"/>
      <c r="C55" s="385">
        <f>IF('Intersection Tables'!$D$4="No",VLOOKUP($J$9,'Intersection Tables'!$B$10:$F$13,MATCH(C$52,'Intersection Tables'!$B$8:$F$8,0),FALSE),VLOOKUP($J$9,'Intersection Tables'!$G$10:$K$13,MATCH(C$52,'Intersection Tables'!$G$8:$K$8,0),FALSE))</f>
        <v>-14.492000000000001</v>
      </c>
      <c r="D55" s="385">
        <f>IF('Intersection Tables'!$D$4="No",VLOOKUP($J$9,'Intersection Tables'!$B$10:$F$13,MATCH(D$52,'Intersection Tables'!$B$8:$F$8,0),FALSE),VLOOKUP($J$9,'Intersection Tables'!$G$10:$K$13,MATCH(D$52,'Intersection Tables'!$G$8:$K$8,0),FALSE))</f>
        <v>1.26</v>
      </c>
      <c r="E55" s="385">
        <f>IF('Intersection Tables'!$D$4="No",VLOOKUP($J$9,'Intersection Tables'!$B$10:$F$13,MATCH(E$52,'Intersection Tables'!$B$8:$F$8,0),FALSE),VLOOKUP($J$9,'Intersection Tables'!$G$10:$K$13,MATCH(E$52,'Intersection Tables'!$G$8:$K$8,0),FALSE))</f>
        <v>0.38</v>
      </c>
      <c r="F55" s="386">
        <f>IF('Intersection Tables'!$D$4="No",VLOOKUP($J$9,'Intersection Tables'!$B$10:$F$13,MATCH(F$52,'Intersection Tables'!$B$8:$F$8,0),FALSE),VLOOKUP($J$9,'Intersection Tables'!$G$10:$K$13,MATCH(F$52,'Intersection Tables'!$G$8:$K$8,0),FALSE))</f>
        <v>0.81</v>
      </c>
      <c r="G55" s="387" t="e">
        <f>IF('Intersection Tables'!$D$4="No",VLOOKUP($J$9,'Intersection Tables'!$B$10:$F$13,MATCH(G$52,'Intersection Tables'!$B$8:$F$8,0),FALSE),VLOOKUP($J$9,'Intersection Tables'!$G$10:$K$13,MATCH(G$52,'Intersection Tables'!$G$8:$K$8,0),FALSE))</f>
        <v>#N/A</v>
      </c>
      <c r="H55" s="368"/>
      <c r="I55" s="295">
        <f>+H54/(H54+H56)</f>
        <v>0.34599999999999997</v>
      </c>
      <c r="J55" s="296"/>
      <c r="K55" s="368"/>
      <c r="L55" s="369"/>
      <c r="M55" s="404">
        <f>$J$15*VLOOKUP(VLOOKUP($J$12,'Intersection Tables'!$U$29:$V$55,MATCH("Region",'Intersection Tables'!$U$29:$V$29,0),FALSE),'Intersection Tables'!$M$29:$R$34,MATCH($J$13,'Intersection Tables'!$M$29:$R$29,0),FALSE)</f>
        <v>1</v>
      </c>
      <c r="N55" s="370"/>
    </row>
    <row r="56" spans="1:14" ht="15.6">
      <c r="A56" s="301" t="s">
        <v>36</v>
      </c>
      <c r="B56" s="371"/>
      <c r="C56" s="364" t="str">
        <f>IF('Intersection Tables'!$D$4="No",VLOOKUP($J$9,'Intersection Tables'!$B$20:$F$23,MATCH(C$52,'Intersection Tables'!$B$8:$F$8,0),FALSE),"--")</f>
        <v>--</v>
      </c>
      <c r="D56" s="364" t="str">
        <f>IF('Intersection Tables'!$D$4="No",VLOOKUP($J$9,'Intersection Tables'!$B$20:$F$23,MATCH(D$52,'Intersection Tables'!$B$8:$F$8,0),FALSE),"--")</f>
        <v>--</v>
      </c>
      <c r="E56" s="364" t="str">
        <f>IF('Intersection Tables'!$D$4="No",VLOOKUP($J$9,'Intersection Tables'!$B$20:$F$23,MATCH(E$52,'Intersection Tables'!$B$8:$F$8,0),FALSE),"--")</f>
        <v>--</v>
      </c>
      <c r="F56" s="375" t="str">
        <f>IF('Intersection Tables'!$D$4="No",VLOOKUP($J$9,'Intersection Tables'!$B$20:$F$23,MATCH(F$52,'Intersection Tables'!$B$8:$F$8,0),FALSE),"--")</f>
        <v>--</v>
      </c>
      <c r="G56" s="376" t="str">
        <f>IF('Intersection Tables'!$D$4="No",VLOOKUP($J$9,'Intersection Tables'!$B$20:$F$23,MATCH(G$52,'Intersection Tables'!$B$8:$F$8,0),FALSE),"--")</f>
        <v>--</v>
      </c>
      <c r="H56" s="360">
        <f>IF('Intersection Tables'!$D$4="No",EXP(C56+(D56*LN($J$10))+(E56*LN($J$11))),H$53*HLOOKUP($J$9,'Intersection Tables'!$O$42:$R$49,7,FALSE)/100)</f>
        <v>1.3022256284934941</v>
      </c>
      <c r="I56" s="290" t="s">
        <v>234</v>
      </c>
      <c r="J56" s="291"/>
      <c r="K56" s="360">
        <f>H53*I57</f>
        <v>1.3022256284934939</v>
      </c>
      <c r="L56" s="362">
        <f>+M43</f>
        <v>0.67</v>
      </c>
      <c r="M56" s="364">
        <f>$J$15*VLOOKUP(VLOOKUP($J$12,'Intersection Tables'!$U$29:$V$55,MATCH("Region",'Intersection Tables'!$U$29:$V$29,0),FALSE),'Intersection Tables'!$M$29:$R$34,MATCH($J$13,'Intersection Tables'!$M$29:$R$29,0),FALSE)</f>
        <v>1</v>
      </c>
      <c r="N56" s="366">
        <f>+K56*L56*M56</f>
        <v>0.872491171090641</v>
      </c>
    </row>
    <row r="57" spans="1:14" ht="13.8" thickBot="1">
      <c r="A57" s="372"/>
      <c r="B57" s="373"/>
      <c r="C57" s="374">
        <f>IF('Intersection Tables'!$D$4="No",VLOOKUP($J$9,'Intersection Tables'!$B$10:$F$13,MATCH(C$52,'Intersection Tables'!$B$8:$F$8,0),FALSE),VLOOKUP($J$9,'Intersection Tables'!$G$10:$K$13,MATCH(C$52,'Intersection Tables'!$G$8:$K$8,0),FALSE))</f>
        <v>-14.492000000000001</v>
      </c>
      <c r="D57" s="374">
        <f>IF('Intersection Tables'!$D$4="No",VLOOKUP($J$9,'Intersection Tables'!$B$10:$F$13,MATCH(D$52,'Intersection Tables'!$B$8:$F$8,0),FALSE),VLOOKUP($J$9,'Intersection Tables'!$G$10:$K$13,MATCH(D$52,'Intersection Tables'!$G$8:$K$8,0),FALSE))</f>
        <v>1.26</v>
      </c>
      <c r="E57" s="374">
        <f>IF('Intersection Tables'!$D$4="No",VLOOKUP($J$9,'Intersection Tables'!$B$10:$F$13,MATCH(E$52,'Intersection Tables'!$B$8:$F$8,0),FALSE),VLOOKUP($J$9,'Intersection Tables'!$G$10:$K$13,MATCH(E$52,'Intersection Tables'!$G$8:$K$8,0),FALSE))</f>
        <v>0.38</v>
      </c>
      <c r="F57" s="377">
        <f>IF('Intersection Tables'!$D$4="No",VLOOKUP($J$9,'Intersection Tables'!$B$10:$F$13,MATCH(F$52,'Intersection Tables'!$B$8:$F$8,0),FALSE),VLOOKUP($J$9,'Intersection Tables'!$G$10:$K$13,MATCH(F$52,'Intersection Tables'!$G$8:$K$8,0),FALSE))</f>
        <v>0.81</v>
      </c>
      <c r="G57" s="378" t="e">
        <f>IF('Intersection Tables'!$D$4="No",VLOOKUP($J$9,'Intersection Tables'!$B$10:$F$13,MATCH(G$52,'Intersection Tables'!$B$8:$F$8,0),FALSE),VLOOKUP($J$9,'Intersection Tables'!$G$10:$K$13,MATCH(G$52,'Intersection Tables'!$G$8:$K$8,0),FALSE))</f>
        <v>#N/A</v>
      </c>
      <c r="H57" s="361"/>
      <c r="I57" s="305">
        <f>I53-I55</f>
        <v>0.65400000000000003</v>
      </c>
      <c r="J57" s="306"/>
      <c r="K57" s="361"/>
      <c r="L57" s="363"/>
      <c r="M57" s="365">
        <f>$J$15*VLOOKUP(VLOOKUP($J$12,'Intersection Tables'!$U$29:$V$55,MATCH("Region",'Intersection Tables'!$U$29:$V$29,0),FALSE),'Intersection Tables'!$M$29:$R$34,MATCH($J$13,'Intersection Tables'!$M$29:$R$29,0),FALSE)</f>
        <v>1</v>
      </c>
      <c r="N57" s="367"/>
    </row>
    <row r="60" spans="1:14" ht="13.8" thickBot="1"/>
    <row r="61" spans="1:14" ht="14.4" thickTop="1" thickBot="1">
      <c r="A61" s="302" t="s">
        <v>385</v>
      </c>
      <c r="B61" s="358"/>
      <c r="C61" s="358"/>
      <c r="D61" s="358"/>
      <c r="E61" s="358"/>
      <c r="F61" s="358"/>
      <c r="G61" s="358"/>
      <c r="H61" s="358"/>
      <c r="I61" s="359"/>
      <c r="J61" s="359"/>
      <c r="K61" s="359"/>
      <c r="L61" s="359"/>
      <c r="M61" s="359"/>
      <c r="N61" s="359"/>
    </row>
    <row r="62" spans="1:14">
      <c r="A62" s="297" t="s">
        <v>15</v>
      </c>
      <c r="B62" s="298"/>
      <c r="C62" s="298"/>
      <c r="D62" s="349" t="s">
        <v>16</v>
      </c>
      <c r="E62" s="350"/>
      <c r="F62" s="349" t="s">
        <v>17</v>
      </c>
      <c r="G62" s="349"/>
      <c r="H62" s="287" t="s">
        <v>18</v>
      </c>
      <c r="I62" s="350"/>
      <c r="J62" s="349" t="s">
        <v>19</v>
      </c>
      <c r="K62" s="349"/>
      <c r="L62" s="287" t="s">
        <v>20</v>
      </c>
      <c r="M62" s="350"/>
      <c r="N62" s="351"/>
    </row>
    <row r="63" spans="1:14">
      <c r="A63" s="498" t="s">
        <v>37</v>
      </c>
      <c r="B63" s="338"/>
      <c r="C63" s="334"/>
      <c r="D63" s="289" t="s">
        <v>38</v>
      </c>
      <c r="E63" s="340"/>
      <c r="F63" s="289" t="s">
        <v>386</v>
      </c>
      <c r="G63" s="289"/>
      <c r="H63" s="289" t="s">
        <v>256</v>
      </c>
      <c r="I63" s="340"/>
      <c r="J63" s="289" t="s">
        <v>388</v>
      </c>
      <c r="K63" s="289"/>
      <c r="L63" s="289" t="s">
        <v>389</v>
      </c>
      <c r="M63" s="289"/>
      <c r="N63" s="339"/>
    </row>
    <row r="64" spans="1:14">
      <c r="A64" s="498"/>
      <c r="B64" s="338"/>
      <c r="C64" s="334"/>
      <c r="D64" s="340"/>
      <c r="E64" s="340"/>
      <c r="F64" s="340"/>
      <c r="G64" s="340"/>
      <c r="H64" s="340"/>
      <c r="I64" s="340"/>
      <c r="J64" s="340"/>
      <c r="K64" s="340"/>
      <c r="L64" s="340"/>
      <c r="M64" s="340"/>
      <c r="N64" s="339"/>
    </row>
    <row r="65" spans="1:14">
      <c r="A65" s="286"/>
      <c r="B65" s="291"/>
      <c r="C65" s="334"/>
      <c r="D65" s="340"/>
      <c r="E65" s="340"/>
      <c r="F65" s="340"/>
      <c r="G65" s="340"/>
      <c r="H65" s="340"/>
      <c r="I65" s="340"/>
      <c r="J65" s="340"/>
      <c r="K65" s="340"/>
      <c r="L65" s="340"/>
      <c r="M65" s="340"/>
      <c r="N65" s="339"/>
    </row>
    <row r="66" spans="1:14">
      <c r="A66" s="286"/>
      <c r="B66" s="291"/>
      <c r="C66" s="334"/>
      <c r="D66" s="348" t="s">
        <v>607</v>
      </c>
      <c r="E66" s="334"/>
      <c r="F66" s="355" t="s">
        <v>387</v>
      </c>
      <c r="G66" s="356"/>
      <c r="H66" s="348" t="s">
        <v>607</v>
      </c>
      <c r="I66" s="334"/>
      <c r="J66" s="355" t="s">
        <v>397</v>
      </c>
      <c r="K66" s="356"/>
      <c r="L66" s="355" t="s">
        <v>397</v>
      </c>
      <c r="M66" s="356"/>
      <c r="N66" s="357"/>
    </row>
    <row r="67" spans="1:14">
      <c r="A67" s="286"/>
      <c r="B67" s="291"/>
      <c r="C67" s="334"/>
      <c r="D67" s="291"/>
      <c r="E67" s="334"/>
      <c r="F67" s="291"/>
      <c r="G67" s="291"/>
      <c r="H67" s="291"/>
      <c r="I67" s="334"/>
      <c r="J67" s="291"/>
      <c r="K67" s="291"/>
      <c r="L67" s="291"/>
      <c r="M67" s="291"/>
      <c r="N67" s="357"/>
    </row>
    <row r="68" spans="1:14">
      <c r="A68" s="336" t="s">
        <v>34</v>
      </c>
      <c r="B68" s="334"/>
      <c r="C68" s="334"/>
      <c r="D68" s="308">
        <v>1</v>
      </c>
      <c r="E68" s="308"/>
      <c r="F68" s="295">
        <f>+N54</f>
        <v>0.46159318837517083</v>
      </c>
      <c r="G68" s="286"/>
      <c r="H68" s="308">
        <v>1</v>
      </c>
      <c r="I68" s="308"/>
      <c r="J68" s="295">
        <f>+N56</f>
        <v>0.872491171090641</v>
      </c>
      <c r="K68" s="286"/>
      <c r="L68" s="295">
        <f>+N53</f>
        <v>1.3340843594658118</v>
      </c>
      <c r="M68" s="337"/>
      <c r="N68" s="337"/>
    </row>
    <row r="69" spans="1:14" ht="15.6">
      <c r="A69" s="336"/>
      <c r="B69" s="334"/>
      <c r="C69" s="334"/>
      <c r="D69" s="334"/>
      <c r="E69" s="334"/>
      <c r="F69" s="335" t="s">
        <v>248</v>
      </c>
      <c r="G69" s="291"/>
      <c r="H69" s="334"/>
      <c r="I69" s="334"/>
      <c r="J69" s="335" t="s">
        <v>249</v>
      </c>
      <c r="K69" s="291"/>
      <c r="L69" s="335" t="s">
        <v>250</v>
      </c>
      <c r="M69" s="291"/>
      <c r="N69" s="285"/>
    </row>
    <row r="70" spans="1:14">
      <c r="A70" s="326" t="s">
        <v>41</v>
      </c>
      <c r="B70" s="334"/>
      <c r="C70" s="334"/>
      <c r="D70" s="295">
        <f>IF('Intersection Tables'!$C$41="No",VLOOKUP($A70,'Intersection Tables'!$B$43:$K$48,MATCH($J$9&amp;", FI",'Intersection Tables'!$B$43:$K$43,0),FALSE),VLOOKUP($A70,'Intersection Tables'!$B$51:$K$56,MATCH($J$9&amp;", FI",'Intersection Tables'!$B$51:$K$51,0),FALSE))</f>
        <v>5.4000000000000006E-2</v>
      </c>
      <c r="E70" s="296"/>
      <c r="F70" s="295">
        <f>+D70*$F$68</f>
        <v>2.4926032172259228E-2</v>
      </c>
      <c r="G70" s="296"/>
      <c r="H70" s="295">
        <f>IF('Intersection Tables'!$C$41="No",VLOOKUP($A70,'Intersection Tables'!$B$43:$K$48,MATCH($J$9&amp;", PDO",'Intersection Tables'!$B$43:$K$43,0),FALSE),VLOOKUP($A70,'Intersection Tables'!$B$51:$K$56,MATCH($J$9&amp;", PDO",'Intersection Tables'!$B$51:$K$51,0),FALSE))</f>
        <v>5.7000000000000002E-2</v>
      </c>
      <c r="I70" s="296"/>
      <c r="J70" s="295">
        <f>+H70*$J$68</f>
        <v>4.9731996752166538E-2</v>
      </c>
      <c r="K70" s="296"/>
      <c r="L70" s="308">
        <f>+F70+J70</f>
        <v>7.4658028924425773E-2</v>
      </c>
      <c r="M70" s="308"/>
      <c r="N70" s="295"/>
    </row>
    <row r="71" spans="1:14">
      <c r="A71" s="333" t="s">
        <v>40</v>
      </c>
      <c r="B71" s="334"/>
      <c r="C71" s="334"/>
      <c r="D71" s="295">
        <f>IF('Intersection Tables'!$C$41="No",VLOOKUP($A71,'Intersection Tables'!$B$43:$K$48,MATCH($J$9&amp;", FI",'Intersection Tables'!$B$43:$K$43,0),FALSE),VLOOKUP($A71,'Intersection Tables'!$B$51:$K$56,MATCH($J$9&amp;", FI",'Intersection Tables'!$B$51:$K$51,0),FALSE))</f>
        <v>8.0000000000000002E-3</v>
      </c>
      <c r="E71" s="296"/>
      <c r="F71" s="295">
        <f>+D71*$F$68</f>
        <v>3.6927455070013666E-3</v>
      </c>
      <c r="G71" s="296"/>
      <c r="H71" s="295">
        <f>IF('Intersection Tables'!$C$41="No",VLOOKUP($A71,'Intersection Tables'!$B$43:$K$48,MATCH($J$9&amp;", PDO",'Intersection Tables'!$B$43:$K$43,0),FALSE),VLOOKUP($A71,'Intersection Tables'!$B$51:$K$56,MATCH($J$9&amp;", PDO",'Intersection Tables'!$B$51:$K$51,0),FALSE))</f>
        <v>0</v>
      </c>
      <c r="I71" s="296"/>
      <c r="J71" s="295">
        <f>+H71*$J$68</f>
        <v>0</v>
      </c>
      <c r="K71" s="296"/>
      <c r="L71" s="308">
        <f>+F71+J71</f>
        <v>3.6927455070013666E-3</v>
      </c>
      <c r="M71" s="308"/>
      <c r="N71" s="295"/>
    </row>
    <row r="72" spans="1:14">
      <c r="A72" s="333" t="s">
        <v>39</v>
      </c>
      <c r="B72" s="334"/>
      <c r="C72" s="334"/>
      <c r="D72" s="295">
        <f>IF('Intersection Tables'!$C$41="No",VLOOKUP($A72,'Intersection Tables'!$B$43:$K$48,MATCH($J$9&amp;", FI",'Intersection Tables'!$B$43:$K$43,0),FALSE),VLOOKUP($A72,'Intersection Tables'!$B$51:$K$56,MATCH($J$9&amp;", FI",'Intersection Tables'!$B$51:$K$51,0),FALSE))</f>
        <v>0.56799999999999995</v>
      </c>
      <c r="E72" s="296"/>
      <c r="F72" s="295">
        <f>+D72*$F$68</f>
        <v>0.262184930997097</v>
      </c>
      <c r="G72" s="296"/>
      <c r="H72" s="295">
        <f>IF('Intersection Tables'!$C$41="No",VLOOKUP($A72,'Intersection Tables'!$B$43:$K$48,MATCH($J$9&amp;", PDO",'Intersection Tables'!$B$43:$K$43,0),FALSE),VLOOKUP($A72,'Intersection Tables'!$B$51:$K$56,MATCH($J$9&amp;", PDO",'Intersection Tables'!$B$51:$K$51,0),FALSE))</f>
        <v>0.55399999999999994</v>
      </c>
      <c r="I72" s="296"/>
      <c r="J72" s="295">
        <f>+H72*$J$68</f>
        <v>0.48336010878421504</v>
      </c>
      <c r="K72" s="296"/>
      <c r="L72" s="308">
        <f>+F72+J72</f>
        <v>0.74554503978131204</v>
      </c>
      <c r="M72" s="308"/>
      <c r="N72" s="295"/>
    </row>
    <row r="73" spans="1:14">
      <c r="A73" s="333" t="s">
        <v>93</v>
      </c>
      <c r="B73" s="334"/>
      <c r="C73" s="334"/>
      <c r="D73" s="295">
        <f>IF('Intersection Tables'!$C$41="No",VLOOKUP($A73,'Intersection Tables'!$B$43:$K$48,MATCH($J$9&amp;", FI",'Intersection Tables'!$B$43:$K$43,0),FALSE),VLOOKUP($A73,'Intersection Tables'!$B$51:$K$56,MATCH($J$9&amp;", FI",'Intersection Tables'!$B$51:$K$51,0),FALSE))</f>
        <v>1.2E-2</v>
      </c>
      <c r="E73" s="296"/>
      <c r="F73" s="295">
        <f>+D73*$F$68</f>
        <v>5.5391182605020496E-3</v>
      </c>
      <c r="G73" s="296"/>
      <c r="H73" s="295">
        <f>IF('Intersection Tables'!$C$41="No",VLOOKUP($A73,'Intersection Tables'!$B$43:$K$48,MATCH($J$9&amp;", PDO",'Intersection Tables'!$B$43:$K$43,0),FALSE),VLOOKUP($A73,'Intersection Tables'!$B$51:$K$56,MATCH($J$9&amp;", PDO",'Intersection Tables'!$B$51:$K$51,0),FALSE))</f>
        <v>3.7000000000000005E-2</v>
      </c>
      <c r="I73" s="296"/>
      <c r="J73" s="295">
        <f>+H73*$J$68</f>
        <v>3.2282173330353721E-2</v>
      </c>
      <c r="K73" s="296"/>
      <c r="L73" s="308">
        <f>+F73+J73</f>
        <v>3.7821291590855774E-2</v>
      </c>
      <c r="M73" s="308"/>
      <c r="N73" s="295"/>
    </row>
    <row r="74" spans="1:14" ht="13.8" thickBot="1">
      <c r="A74" s="303" t="s">
        <v>255</v>
      </c>
      <c r="B74" s="304"/>
      <c r="C74" s="304"/>
      <c r="D74" s="305">
        <f>IF('Intersection Tables'!$C$41="No",VLOOKUP($A74,'Intersection Tables'!$B$43:$K$48,MATCH($J$9&amp;", FI",'Intersection Tables'!$B$43:$K$43,0),FALSE),VLOOKUP($A74,'Intersection Tables'!$B$51:$K$56,MATCH($J$9&amp;", FI",'Intersection Tables'!$B$51:$K$51,0),FALSE))</f>
        <v>0.35899999999999999</v>
      </c>
      <c r="E74" s="306"/>
      <c r="F74" s="305">
        <f>+D74*$F$68</f>
        <v>0.16571195462668631</v>
      </c>
      <c r="G74" s="306"/>
      <c r="H74" s="305">
        <f>IF('Intersection Tables'!$C$41="No",VLOOKUP($A74,'Intersection Tables'!$B$43:$K$48,MATCH($J$9&amp;", PDO",'Intersection Tables'!$B$43:$K$43,0),FALSE),VLOOKUP($A74,'Intersection Tables'!$B$51:$K$56,MATCH($J$9&amp;", PDO",'Intersection Tables'!$B$51:$K$51,0),FALSE))</f>
        <v>0.35200000000000004</v>
      </c>
      <c r="I74" s="306"/>
      <c r="J74" s="305">
        <f>+H74*$J$68</f>
        <v>0.30711689222390565</v>
      </c>
      <c r="K74" s="306"/>
      <c r="L74" s="307">
        <f>+F74+J74</f>
        <v>0.47282884685059196</v>
      </c>
      <c r="M74" s="307"/>
      <c r="N74" s="305"/>
    </row>
    <row r="75" spans="1:14" ht="12.75" customHeight="1"/>
    <row r="77" spans="1:14" ht="13.8" thickBot="1"/>
    <row r="78" spans="1:14" ht="14.4" thickTop="1" thickBot="1">
      <c r="A78" s="302" t="s">
        <v>390</v>
      </c>
      <c r="B78" s="358"/>
      <c r="C78" s="358"/>
      <c r="D78" s="358"/>
      <c r="E78" s="358"/>
      <c r="F78" s="358"/>
      <c r="G78" s="358"/>
      <c r="H78" s="358"/>
      <c r="I78" s="358"/>
      <c r="J78" s="405"/>
      <c r="K78" s="405"/>
      <c r="L78" s="405"/>
      <c r="M78" s="405"/>
      <c r="N78" s="405"/>
    </row>
    <row r="79" spans="1:14">
      <c r="A79" s="297" t="s">
        <v>15</v>
      </c>
      <c r="B79" s="298"/>
      <c r="C79" s="556" t="s">
        <v>16</v>
      </c>
      <c r="D79" s="777"/>
      <c r="E79" s="604"/>
      <c r="F79" s="778" t="s">
        <v>17</v>
      </c>
      <c r="G79" s="604"/>
      <c r="H79" s="2" t="s">
        <v>18</v>
      </c>
      <c r="I79" s="349" t="s">
        <v>19</v>
      </c>
      <c r="J79" s="298"/>
      <c r="K79" s="2" t="s">
        <v>20</v>
      </c>
      <c r="L79" s="30" t="s">
        <v>21</v>
      </c>
      <c r="M79" s="30" t="s">
        <v>22</v>
      </c>
      <c r="N79" s="67" t="s">
        <v>23</v>
      </c>
    </row>
    <row r="80" spans="1:14" ht="13.2" customHeight="1">
      <c r="A80" s="314" t="s">
        <v>31</v>
      </c>
      <c r="B80" s="744"/>
      <c r="C80" s="643" t="s">
        <v>86</v>
      </c>
      <c r="D80" s="768"/>
      <c r="E80" s="672"/>
      <c r="F80" s="399" t="s">
        <v>684</v>
      </c>
      <c r="G80" s="672"/>
      <c r="H80" s="770" t="s">
        <v>391</v>
      </c>
      <c r="I80" s="338" t="s">
        <v>226</v>
      </c>
      <c r="J80" s="398"/>
      <c r="K80" s="403" t="s">
        <v>383</v>
      </c>
      <c r="L80" s="338" t="s">
        <v>33</v>
      </c>
      <c r="M80" s="338" t="s">
        <v>750</v>
      </c>
      <c r="N80" s="354" t="s">
        <v>393</v>
      </c>
    </row>
    <row r="81" spans="1:14" ht="13.2" customHeight="1">
      <c r="A81" s="745"/>
      <c r="B81" s="508"/>
      <c r="C81" s="437"/>
      <c r="D81" s="769"/>
      <c r="E81" s="447"/>
      <c r="F81" s="437"/>
      <c r="G81" s="447"/>
      <c r="H81" s="422"/>
      <c r="I81" s="398"/>
      <c r="J81" s="398"/>
      <c r="K81" s="352"/>
      <c r="L81" s="352"/>
      <c r="M81" s="352"/>
      <c r="N81" s="354"/>
    </row>
    <row r="82" spans="1:14" ht="13.2" customHeight="1">
      <c r="A82" s="745"/>
      <c r="B82" s="508"/>
      <c r="C82" s="771" t="s">
        <v>608</v>
      </c>
      <c r="D82" s="772"/>
      <c r="E82" s="773"/>
      <c r="F82" s="551" t="s">
        <v>608</v>
      </c>
      <c r="G82" s="552"/>
      <c r="H82" s="499" t="s">
        <v>709</v>
      </c>
      <c r="I82" s="398"/>
      <c r="J82" s="398"/>
      <c r="K82" s="348" t="s">
        <v>230</v>
      </c>
      <c r="L82" s="411" t="s">
        <v>392</v>
      </c>
      <c r="M82" s="353"/>
      <c r="N82" s="319" t="s">
        <v>232</v>
      </c>
    </row>
    <row r="83" spans="1:14" ht="13.2" customHeight="1">
      <c r="A83" s="745"/>
      <c r="B83" s="508"/>
      <c r="C83" s="774"/>
      <c r="D83" s="775"/>
      <c r="E83" s="776"/>
      <c r="F83" s="553"/>
      <c r="G83" s="554"/>
      <c r="H83" s="759"/>
      <c r="I83" s="398"/>
      <c r="J83" s="398"/>
      <c r="K83" s="300"/>
      <c r="L83" s="352"/>
      <c r="M83" s="353"/>
      <c r="N83" s="412"/>
    </row>
    <row r="84" spans="1:14">
      <c r="A84" s="746"/>
      <c r="B84" s="510"/>
      <c r="C84" s="151" t="s">
        <v>87</v>
      </c>
      <c r="D84" s="151" t="s">
        <v>88</v>
      </c>
      <c r="E84" s="151" t="s">
        <v>382</v>
      </c>
      <c r="F84" s="319" t="s">
        <v>652</v>
      </c>
      <c r="G84" s="408"/>
      <c r="H84" s="760"/>
      <c r="I84" s="124"/>
      <c r="J84" s="127"/>
      <c r="K84" s="120"/>
      <c r="L84" s="121"/>
      <c r="M84" s="122"/>
      <c r="N84" s="123"/>
    </row>
    <row r="85" spans="1:14">
      <c r="A85" s="336" t="s">
        <v>34</v>
      </c>
      <c r="B85" s="357"/>
      <c r="C85" s="11">
        <f>IF('Intersection Tables'!$O$4="No",VLOOKUP($J$9,'Intersection Tables'!$M$10:$Q$13,MATCH(C$84,'Intersection Tables'!$M$8:$Q$8,0),FALSE),VLOOKUP($J$9,'Intersection Tables'!$R$10:$V$13,MATCH(C$84,'Intersection Tables'!$R$8:$V$8,0),FALSE))</f>
        <v>-9.0869999999999997</v>
      </c>
      <c r="D85" s="11">
        <f>IF('Intersection Tables'!$O$4="No",VLOOKUP($J$9,'Intersection Tables'!$M$10:$Q$13,MATCH(D$84,'Intersection Tables'!$M$8:$Q$8,0),FALSE),VLOOKUP($J$9,'Intersection Tables'!$R$10:$V$13,MATCH(D$84,'Intersection Tables'!$R$8:$V$8,0),FALSE))</f>
        <v>0.21</v>
      </c>
      <c r="E85" s="11">
        <f>IF('Intersection Tables'!$O$4="No",VLOOKUP($J$9,'Intersection Tables'!$M$10:$Q$13,MATCH(E$84,'Intersection Tables'!$M$8:$Q$8,0),FALSE),VLOOKUP($J$9,'Intersection Tables'!$R$10:$V$13,MATCH(E$84,'Intersection Tables'!$R$8:$V$8,0),FALSE))</f>
        <v>0.72</v>
      </c>
      <c r="F85" s="390">
        <f>IF('Intersection Tables'!$O$4="No",VLOOKUP($J$9,'Intersection Tables'!$M$10:$Q$13,MATCH(F$84,'Intersection Tables'!$M$8:$Q$8,0),FALSE),VLOOKUP($J$9,'Intersection Tables'!$R$10:$V$13,MATCH(F$84,'Intersection Tables'!$R$8:$V$8,0),FALSE))</f>
        <v>1.34</v>
      </c>
      <c r="G85" s="336" t="e">
        <f>IF('Intersection Tables'!$O$4="No",VLOOKUP($J$9,'Intersection Tables'!$M$10:$Q$13,MATCH(G$84,'Intersection Tables'!$M$8:$Q$8,0),FALSE),VLOOKUP($J$9,'Intersection Tables'!$R$10:$V$13,MATCH(G$84,'Intersection Tables'!$R$8:$V$8,0),FALSE))</f>
        <v>#N/A</v>
      </c>
      <c r="H85" s="3">
        <f>EXP(C85+(D85*LN($J$10))+(E85*LN($J$11)))</f>
        <v>0.32940950329991198</v>
      </c>
      <c r="I85" s="295">
        <v>1</v>
      </c>
      <c r="J85" s="296"/>
      <c r="K85" s="3">
        <f>H85*I85</f>
        <v>0.32940950329991198</v>
      </c>
      <c r="L85" s="184">
        <f>+M43</f>
        <v>0.67</v>
      </c>
      <c r="M85" s="11">
        <f>$J$15*VLOOKUP(VLOOKUP($J$12,'Intersection Tables'!$U$29:$V$55,MATCH("Region",'Intersection Tables'!$U$29:$V$29,0),FALSE),'Intersection Tables'!$M$29:$R$34,MATCH($J$13,'Intersection Tables'!$M$29:$R$29,0),FALSE)</f>
        <v>1</v>
      </c>
      <c r="N85" s="185">
        <f>+K85*L85*M85</f>
        <v>0.22070436721094103</v>
      </c>
    </row>
    <row r="86" spans="1:14" ht="15.6">
      <c r="A86" s="383" t="s">
        <v>35</v>
      </c>
      <c r="B86" s="383"/>
      <c r="C86" s="364" t="str">
        <f>IF('Intersection Tables'!$O$4="No",VLOOKUP($J$9,'Intersection Tables'!$M$15:$Q$18,MATCH(C$84,'Intersection Tables'!$M$8:$Q$8,0),FALSE),"--")</f>
        <v>--</v>
      </c>
      <c r="D86" s="364" t="str">
        <f>IF('Intersection Tables'!$O$4="No",VLOOKUP($J$9,'Intersection Tables'!$M$15:$Q$18,MATCH(D$84,'Intersection Tables'!$M$8:$Q$8,0),FALSE),"--")</f>
        <v>--</v>
      </c>
      <c r="E86" s="364" t="str">
        <f>IF('Intersection Tables'!$O$4="No",VLOOKUP($J$9,'Intersection Tables'!$M$15:$Q$18,MATCH(E$84,'Intersection Tables'!$M$8:$Q$8,0),FALSE),"--")</f>
        <v>--</v>
      </c>
      <c r="F86" s="763" t="str">
        <f>IF('Intersection Tables'!$O$4="No",VLOOKUP($J$9,'Intersection Tables'!$M$15:$Q$18,MATCH(F$84,'Intersection Tables'!$M$8:$Q$8,0),FALSE),"--")</f>
        <v>--</v>
      </c>
      <c r="G86" s="764" t="str">
        <f>IF('Intersection Tables'!$O$4="No",VLOOKUP($J$9,'Intersection Tables'!$M$15:$Q$18,MATCH(G$84,'Intersection Tables'!$M$8:$Q$8,0),FALSE),"--")</f>
        <v>--</v>
      </c>
      <c r="H86" s="360">
        <f>IF('Intersection Tables'!$O$4="No",IF(J9="3ST",H85*0.31,IF(J9="4ST",H85*0.28,(EXP(C86+(D86*LN($J$10))+(E86*LN($J$11)))))),H85*HLOOKUP($J$9,'Intersection Tables'!$O$54:$R$61,6,FALSE)/100)</f>
        <v>0.10376399353947229</v>
      </c>
      <c r="I86" s="290" t="s">
        <v>233</v>
      </c>
      <c r="J86" s="291"/>
      <c r="K86" s="360">
        <f>H85*I87</f>
        <v>0.10376399353947229</v>
      </c>
      <c r="L86" s="362">
        <f>+M43</f>
        <v>0.67</v>
      </c>
      <c r="M86" s="364">
        <f>$J$15*VLOOKUP(VLOOKUP($J$12,'Intersection Tables'!$U$29:$V$55,MATCH("Region",'Intersection Tables'!$U$29:$V$29,0),FALSE),'Intersection Tables'!$M$29:$R$34,MATCH($J$13,'Intersection Tables'!$M$29:$R$29,0),FALSE)</f>
        <v>1</v>
      </c>
      <c r="N86" s="366">
        <f>+K86*L86*M86</f>
        <v>6.9521875671446437E-2</v>
      </c>
    </row>
    <row r="87" spans="1:14">
      <c r="A87" s="384"/>
      <c r="B87" s="384"/>
      <c r="C87" s="404"/>
      <c r="D87" s="404"/>
      <c r="E87" s="404"/>
      <c r="F87" s="530"/>
      <c r="G87" s="767"/>
      <c r="H87" s="404"/>
      <c r="I87" s="295">
        <f>+H86/(H86+H88)</f>
        <v>0.31500000000000006</v>
      </c>
      <c r="J87" s="296"/>
      <c r="K87" s="368"/>
      <c r="L87" s="369"/>
      <c r="M87" s="404">
        <f>$J$15*VLOOKUP(VLOOKUP($J$12,'Intersection Tables'!$U$29:$V$55,MATCH("Region",'Intersection Tables'!$U$29:$V$29,0),FALSE),'Intersection Tables'!$M$29:$R$34,MATCH($J$13,'Intersection Tables'!$M$29:$R$29,0),FALSE)</f>
        <v>1</v>
      </c>
      <c r="N87" s="370"/>
    </row>
    <row r="88" spans="1:14" ht="15.6">
      <c r="A88" s="301" t="s">
        <v>36</v>
      </c>
      <c r="B88" s="371"/>
      <c r="C88" s="762" t="str">
        <f>IF('Intersection Tables'!$O$4="No",VLOOKUP($J$9,'Intersection Tables'!$M$20:$Q$23,MATCH(C$84,'Intersection Tables'!$M$8:$Q$8,0),FALSE),"--")</f>
        <v>--</v>
      </c>
      <c r="D88" s="364" t="str">
        <f>IF('Intersection Tables'!$O$4="No",VLOOKUP($J$9,'Intersection Tables'!$M$20:$Q$23,MATCH(D$84,'Intersection Tables'!$M$8:$Q$8,0),FALSE),"--")</f>
        <v>--</v>
      </c>
      <c r="E88" s="364" t="str">
        <f>IF('Intersection Tables'!$O$4="No",VLOOKUP($J$9,'Intersection Tables'!$M$20:$Q$23,MATCH(E$84,'Intersection Tables'!$M$8:$Q$8,0),FALSE),"--")</f>
        <v>--</v>
      </c>
      <c r="F88" s="763" t="str">
        <f>IF('Intersection Tables'!$O$4="No",VLOOKUP($J$9,'Intersection Tables'!$M$20:$Q$23,MATCH(F$84,'Intersection Tables'!$M$8:$Q$8,0),FALSE),"--")</f>
        <v>--</v>
      </c>
      <c r="G88" s="764" t="str">
        <f>IF('Intersection Tables'!$O$4="No",VLOOKUP($J$9,'Intersection Tables'!$M$20:$Q$23,MATCH(G$84,'Intersection Tables'!$M$8:$Q$8,0),FALSE),"--")</f>
        <v>--</v>
      </c>
      <c r="H88" s="761">
        <f>IF('Intersection Tables'!$O$4="No",EXP(C88+(D88*LN($J$10))+(E88*LN($J$11))),H85*HLOOKUP($J$9,'Intersection Tables'!$O$54:$R$61,7,FALSE)/100)</f>
        <v>0.22564550976043971</v>
      </c>
      <c r="I88" s="290" t="s">
        <v>234</v>
      </c>
      <c r="J88" s="291"/>
      <c r="K88" s="360">
        <f>H85*I89</f>
        <v>0.22564550976043968</v>
      </c>
      <c r="L88" s="362">
        <f>+M43</f>
        <v>0.67</v>
      </c>
      <c r="M88" s="364">
        <f>$J$15*VLOOKUP(VLOOKUP($J$12,'Intersection Tables'!$U$29:$V$55,MATCH("Region",'Intersection Tables'!$U$29:$V$29,0),FALSE),'Intersection Tables'!$M$29:$R$34,MATCH($J$13,'Intersection Tables'!$M$29:$R$29,0),FALSE)</f>
        <v>1</v>
      </c>
      <c r="N88" s="366">
        <f>+K88*L88*M88</f>
        <v>0.15118249153949459</v>
      </c>
    </row>
    <row r="89" spans="1:14" ht="13.8" thickBot="1">
      <c r="A89" s="372"/>
      <c r="B89" s="373"/>
      <c r="C89" s="365"/>
      <c r="D89" s="365"/>
      <c r="E89" s="365"/>
      <c r="F89" s="765"/>
      <c r="G89" s="766"/>
      <c r="H89" s="365"/>
      <c r="I89" s="305">
        <f>I85-I87</f>
        <v>0.68499999999999994</v>
      </c>
      <c r="J89" s="306"/>
      <c r="K89" s="361"/>
      <c r="L89" s="363"/>
      <c r="M89" s="365">
        <f>$J$15*VLOOKUP(VLOOKUP($J$12,'Intersection Tables'!$U$29:$V$55,MATCH("Region",'Intersection Tables'!$U$29:$V$29,0),FALSE),'Intersection Tables'!$M$29:$R$34,MATCH($J$13,'Intersection Tables'!$M$29:$R$29,0),FALSE)</f>
        <v>1</v>
      </c>
      <c r="N89" s="367"/>
    </row>
    <row r="91" spans="1:14">
      <c r="F91" s="22"/>
    </row>
    <row r="92" spans="1:14" ht="13.8" thickBot="1"/>
    <row r="93" spans="1:14" ht="14.4" thickTop="1" thickBot="1">
      <c r="A93" s="302" t="s">
        <v>394</v>
      </c>
      <c r="B93" s="358"/>
      <c r="C93" s="358"/>
      <c r="D93" s="358"/>
      <c r="E93" s="358"/>
      <c r="F93" s="358"/>
      <c r="G93" s="358"/>
      <c r="H93" s="358"/>
      <c r="I93" s="359"/>
      <c r="J93" s="359"/>
      <c r="K93" s="359"/>
      <c r="L93" s="359"/>
      <c r="M93" s="359"/>
      <c r="N93" s="359"/>
    </row>
    <row r="94" spans="1:14">
      <c r="A94" s="297" t="s">
        <v>15</v>
      </c>
      <c r="B94" s="298"/>
      <c r="C94" s="298"/>
      <c r="D94" s="349" t="s">
        <v>16</v>
      </c>
      <c r="E94" s="350"/>
      <c r="F94" s="349" t="s">
        <v>17</v>
      </c>
      <c r="G94" s="349"/>
      <c r="H94" s="287" t="s">
        <v>18</v>
      </c>
      <c r="I94" s="350"/>
      <c r="J94" s="349" t="s">
        <v>19</v>
      </c>
      <c r="K94" s="349"/>
      <c r="L94" s="287" t="s">
        <v>20</v>
      </c>
      <c r="M94" s="350"/>
      <c r="N94" s="351"/>
    </row>
    <row r="95" spans="1:14">
      <c r="A95" s="498" t="s">
        <v>37</v>
      </c>
      <c r="B95" s="338"/>
      <c r="C95" s="334"/>
      <c r="D95" s="289" t="s">
        <v>38</v>
      </c>
      <c r="E95" s="340"/>
      <c r="F95" s="289" t="s">
        <v>402</v>
      </c>
      <c r="G95" s="289"/>
      <c r="H95" s="289" t="s">
        <v>256</v>
      </c>
      <c r="I95" s="340"/>
      <c r="J95" s="289" t="s">
        <v>401</v>
      </c>
      <c r="K95" s="289"/>
      <c r="L95" s="289" t="s">
        <v>400</v>
      </c>
      <c r="M95" s="289"/>
      <c r="N95" s="339"/>
    </row>
    <row r="96" spans="1:14">
      <c r="A96" s="498"/>
      <c r="B96" s="338"/>
      <c r="C96" s="334"/>
      <c r="D96" s="340"/>
      <c r="E96" s="340"/>
      <c r="F96" s="340"/>
      <c r="G96" s="340"/>
      <c r="H96" s="340"/>
      <c r="I96" s="340"/>
      <c r="J96" s="340"/>
      <c r="K96" s="340"/>
      <c r="L96" s="340"/>
      <c r="M96" s="340"/>
      <c r="N96" s="339"/>
    </row>
    <row r="97" spans="1:14">
      <c r="A97" s="286"/>
      <c r="B97" s="291"/>
      <c r="C97" s="334"/>
      <c r="D97" s="340"/>
      <c r="E97" s="340"/>
      <c r="F97" s="340"/>
      <c r="G97" s="340"/>
      <c r="H97" s="340"/>
      <c r="I97" s="340"/>
      <c r="J97" s="340"/>
      <c r="K97" s="340"/>
      <c r="L97" s="340"/>
      <c r="M97" s="340"/>
      <c r="N97" s="339"/>
    </row>
    <row r="98" spans="1:14">
      <c r="A98" s="286"/>
      <c r="B98" s="291"/>
      <c r="C98" s="334"/>
      <c r="D98" s="348" t="s">
        <v>609</v>
      </c>
      <c r="E98" s="334"/>
      <c r="F98" s="355" t="s">
        <v>398</v>
      </c>
      <c r="G98" s="356"/>
      <c r="H98" s="348" t="s">
        <v>609</v>
      </c>
      <c r="I98" s="334"/>
      <c r="J98" s="355" t="s">
        <v>399</v>
      </c>
      <c r="K98" s="356"/>
      <c r="L98" s="355" t="s">
        <v>399</v>
      </c>
      <c r="M98" s="356"/>
      <c r="N98" s="357"/>
    </row>
    <row r="99" spans="1:14">
      <c r="A99" s="286"/>
      <c r="B99" s="291"/>
      <c r="C99" s="334"/>
      <c r="D99" s="291"/>
      <c r="E99" s="334"/>
      <c r="F99" s="291"/>
      <c r="G99" s="291"/>
      <c r="H99" s="291"/>
      <c r="I99" s="334"/>
      <c r="J99" s="291"/>
      <c r="K99" s="291"/>
      <c r="L99" s="291"/>
      <c r="M99" s="291"/>
      <c r="N99" s="357"/>
    </row>
    <row r="100" spans="1:14">
      <c r="A100" s="336" t="s">
        <v>34</v>
      </c>
      <c r="B100" s="334"/>
      <c r="C100" s="334"/>
      <c r="D100" s="308">
        <v>1</v>
      </c>
      <c r="E100" s="308"/>
      <c r="F100" s="295">
        <f>+N86</f>
        <v>6.9521875671446437E-2</v>
      </c>
      <c r="G100" s="286"/>
      <c r="H100" s="308">
        <v>1</v>
      </c>
      <c r="I100" s="308"/>
      <c r="J100" s="295">
        <f>+N88</f>
        <v>0.15118249153949459</v>
      </c>
      <c r="K100" s="286"/>
      <c r="L100" s="295">
        <f>+N85</f>
        <v>0.22070436721094103</v>
      </c>
      <c r="M100" s="337"/>
      <c r="N100" s="337"/>
    </row>
    <row r="101" spans="1:14" ht="13.5" customHeight="1">
      <c r="A101" s="336"/>
      <c r="B101" s="334"/>
      <c r="C101" s="334"/>
      <c r="D101" s="334"/>
      <c r="E101" s="334"/>
      <c r="F101" s="335" t="s">
        <v>248</v>
      </c>
      <c r="G101" s="291"/>
      <c r="H101" s="334"/>
      <c r="I101" s="334"/>
      <c r="J101" s="335" t="s">
        <v>249</v>
      </c>
      <c r="K101" s="291"/>
      <c r="L101" s="335" t="s">
        <v>250</v>
      </c>
      <c r="M101" s="291"/>
      <c r="N101" s="285"/>
    </row>
    <row r="102" spans="1:14" ht="13.5" customHeight="1">
      <c r="A102" s="326" t="s">
        <v>395</v>
      </c>
      <c r="B102" s="334"/>
      <c r="C102" s="334"/>
      <c r="D102" s="295">
        <f>IF('Intersection Tables'!$C$62="No", VLOOKUP($A102,'Intersection Tables'!$B$64:$K$70,MATCH($J$9&amp;", FI",'Intersection Tables'!$B$64:$K$64,0),FALSE),VLOOKUP($A102,'Intersection Tables'!$B$73:$K$79,MATCH($J$9&amp;", FI",'Intersection Tables'!$B$73:$K$73,0),FALSE))</f>
        <v>2.9000000000000001E-2</v>
      </c>
      <c r="E102" s="296"/>
      <c r="F102" s="295">
        <f>+D102*$F$100</f>
        <v>2.0161343944719466E-3</v>
      </c>
      <c r="G102" s="296"/>
      <c r="H102" s="295">
        <f>IF('Intersection Tables'!$C$62="No", VLOOKUP($A102,'Intersection Tables'!$B$64:$K$70,MATCH($J$9&amp;", PDO",'Intersection Tables'!$B$64:$K$64,0),FALSE),VLOOKUP($A102,'Intersection Tables'!$B$73:$K$79,MATCH($J$9&amp;", PDO",'Intersection Tables'!$B$73:$K$73,0),FALSE))</f>
        <v>0.122</v>
      </c>
      <c r="I102" s="296"/>
      <c r="J102" s="295">
        <f>+H102*$J$100</f>
        <v>1.8444263967818338E-2</v>
      </c>
      <c r="K102" s="296"/>
      <c r="L102" s="308">
        <f>+F102+J102</f>
        <v>2.0460398362290286E-2</v>
      </c>
      <c r="M102" s="308"/>
      <c r="N102" s="295"/>
    </row>
    <row r="103" spans="1:14" ht="13.5" customHeight="1">
      <c r="A103" s="333" t="s">
        <v>262</v>
      </c>
      <c r="B103" s="334"/>
      <c r="C103" s="334"/>
      <c r="D103" s="295">
        <f>IF('Intersection Tables'!$C$62="No", VLOOKUP($A103,'Intersection Tables'!$B$64:$K$70,MATCH($J$9&amp;", FI",'Intersection Tables'!$B$64:$K$64,0),FALSE),VLOOKUP($A103,'Intersection Tables'!$B$73:$K$79,MATCH($J$9&amp;", FI",'Intersection Tables'!$B$73:$K$73,0),FALSE))</f>
        <v>0</v>
      </c>
      <c r="E103" s="296"/>
      <c r="F103" s="295">
        <f>+D103*$F$100</f>
        <v>0</v>
      </c>
      <c r="G103" s="296"/>
      <c r="H103" s="295">
        <f>IF('Intersection Tables'!$C$62="No", VLOOKUP($A103,'Intersection Tables'!$B$64:$K$70,MATCH($J$9&amp;", PDO",'Intersection Tables'!$B$64:$K$64,0),FALSE),VLOOKUP($A103,'Intersection Tables'!$B$73:$K$79,MATCH($J$9&amp;", PDO",'Intersection Tables'!$B$73:$K$73,0),FALSE))</f>
        <v>0</v>
      </c>
      <c r="I103" s="296"/>
      <c r="J103" s="295">
        <f>+H103*$J$100</f>
        <v>0</v>
      </c>
      <c r="K103" s="296"/>
      <c r="L103" s="308">
        <f>+F103+J103</f>
        <v>0</v>
      </c>
      <c r="M103" s="308"/>
      <c r="N103" s="295"/>
    </row>
    <row r="104" spans="1:14" ht="13.5" customHeight="1">
      <c r="A104" s="333" t="s">
        <v>263</v>
      </c>
      <c r="B104" s="334"/>
      <c r="C104" s="334"/>
      <c r="D104" s="295">
        <f>IF('Intersection Tables'!$C$62="No", VLOOKUP($A104,'Intersection Tables'!$B$64:$K$70,MATCH($J$9&amp;", FI",'Intersection Tables'!$B$64:$K$64,0),FALSE),VLOOKUP($A104,'Intersection Tables'!$B$73:$K$79,MATCH($J$9&amp;", FI",'Intersection Tables'!$B$73:$K$73,0),FALSE))</f>
        <v>0.41199999999999998</v>
      </c>
      <c r="E104" s="296"/>
      <c r="F104" s="295">
        <f>+D104*$F$100</f>
        <v>2.8643012776635932E-2</v>
      </c>
      <c r="G104" s="296"/>
      <c r="H104" s="295">
        <f>IF('Intersection Tables'!$C$62="No", VLOOKUP($A104,'Intersection Tables'!$B$64:$K$70,MATCH($J$9&amp;", PDO",'Intersection Tables'!$B$64:$K$64,0),FALSE),VLOOKUP($A104,'Intersection Tables'!$B$73:$K$79,MATCH($J$9&amp;", PDO",'Intersection Tables'!$B$73:$K$73,0),FALSE))</f>
        <v>0.73199999999999998</v>
      </c>
      <c r="I104" s="296"/>
      <c r="J104" s="295">
        <f>+H104*$J$100</f>
        <v>0.11066558380691004</v>
      </c>
      <c r="K104" s="296"/>
      <c r="L104" s="308">
        <f>+F104+J104</f>
        <v>0.13930859658354597</v>
      </c>
      <c r="M104" s="308"/>
      <c r="N104" s="295"/>
    </row>
    <row r="105" spans="1:14" ht="13.5" customHeight="1">
      <c r="A105" s="333" t="s">
        <v>264</v>
      </c>
      <c r="B105" s="334"/>
      <c r="C105" s="334"/>
      <c r="D105" s="295">
        <f>IF('Intersection Tables'!$C$62="No", VLOOKUP($A105,'Intersection Tables'!$B$64:$K$70,MATCH($J$9&amp;", FI",'Intersection Tables'!$B$64:$K$64,0),FALSE),VLOOKUP($A105,'Intersection Tables'!$B$73:$K$79,MATCH($J$9&amp;", FI",'Intersection Tables'!$B$73:$K$73,0),FALSE))</f>
        <v>0</v>
      </c>
      <c r="E105" s="296"/>
      <c r="F105" s="295">
        <f>+D105*$F$100</f>
        <v>0</v>
      </c>
      <c r="G105" s="296"/>
      <c r="H105" s="295">
        <f>IF('Intersection Tables'!$C$62="No", VLOOKUP($A105,'Intersection Tables'!$B$64:$K$70,MATCH($J$9&amp;", PDO",'Intersection Tables'!$B$64:$K$64,0),FALSE),VLOOKUP($A105,'Intersection Tables'!$B$73:$K$79,MATCH($J$9&amp;", PDO",'Intersection Tables'!$B$73:$K$73,0),FALSE))</f>
        <v>1.2E-2</v>
      </c>
      <c r="I105" s="296"/>
      <c r="J105" s="295">
        <f>+H105*$J$100</f>
        <v>1.8141898984739351E-3</v>
      </c>
      <c r="K105" s="296"/>
      <c r="L105" s="308">
        <f>+F105+J105</f>
        <v>1.8141898984739351E-3</v>
      </c>
      <c r="M105" s="308"/>
      <c r="N105" s="295"/>
    </row>
    <row r="106" spans="1:14">
      <c r="A106" s="333" t="s">
        <v>265</v>
      </c>
      <c r="B106" s="334"/>
      <c r="C106" s="334"/>
      <c r="D106" s="295">
        <f>IF('Intersection Tables'!$C$62="No", VLOOKUP($A106,'Intersection Tables'!$B$64:$K$70,MATCH($J$9&amp;", FI",'Intersection Tables'!$B$64:$K$64,0),FALSE),VLOOKUP($A106,'Intersection Tables'!$B$73:$K$79,MATCH($J$9&amp;", FI",'Intersection Tables'!$B$73:$K$73,0),FALSE))</f>
        <v>0.55900000000000005</v>
      </c>
      <c r="E106" s="296"/>
      <c r="F106" s="295">
        <f>+D106*$F$100</f>
        <v>3.8862728500338561E-2</v>
      </c>
      <c r="G106" s="296"/>
      <c r="H106" s="295">
        <f>IF('Intersection Tables'!$C$62="No", VLOOKUP($A106,'Intersection Tables'!$B$64:$K$70,MATCH($J$9&amp;", PDO",'Intersection Tables'!$B$64:$K$64,0),FALSE),VLOOKUP($A106,'Intersection Tables'!$B$73:$K$79,MATCH($J$9&amp;", PDO",'Intersection Tables'!$B$73:$K$73,0),FALSE))</f>
        <v>0.13400000000000001</v>
      </c>
      <c r="I106" s="296"/>
      <c r="J106" s="295">
        <f>+H106*$J$100</f>
        <v>2.0258453866292277E-2</v>
      </c>
      <c r="K106" s="296"/>
      <c r="L106" s="308">
        <f>+F106+J106</f>
        <v>5.9121182366630838E-2</v>
      </c>
      <c r="M106" s="308"/>
      <c r="N106" s="295"/>
    </row>
    <row r="107" spans="1:14" ht="13.8" thickBot="1">
      <c r="A107" s="303" t="str">
        <f>IF('Intersection Tables'!$C$62="No","Single-vehicle noncollision","--")</f>
        <v>--</v>
      </c>
      <c r="B107" s="304"/>
      <c r="C107" s="304"/>
      <c r="D107" s="305" t="str">
        <f>IF('Intersection Tables'!$C$62="No", VLOOKUP($A107,'Intersection Tables'!$B$64:$K$70,MATCH($J$9&amp;", FI",'Intersection Tables'!$B$64:$K$64,0),FALSE),"--")</f>
        <v>--</v>
      </c>
      <c r="E107" s="306"/>
      <c r="F107" s="305" t="str">
        <f>IF('Intersection Tables'!$C$62="No",+D107*$F$100,"--")</f>
        <v>--</v>
      </c>
      <c r="G107" s="306"/>
      <c r="H107" s="305" t="str">
        <f>IF('Intersection Tables'!$C$62="No", VLOOKUP($A107,'Intersection Tables'!$B$64:$K$70,MATCH($J$9&amp;", PDO",'Intersection Tables'!$B$64:$K$64,0),FALSE),"--")</f>
        <v>--</v>
      </c>
      <c r="I107" s="306"/>
      <c r="J107" s="305" t="str">
        <f>IF('Intersection Tables'!$C$62="No",+H107*$J$100,"--")</f>
        <v>--</v>
      </c>
      <c r="K107" s="306"/>
      <c r="L107" s="307" t="str">
        <f>IF('Intersection Tables'!$C$62="No",+F107+J107,"--")</f>
        <v>--</v>
      </c>
      <c r="M107" s="307"/>
      <c r="N107" s="305"/>
    </row>
    <row r="110" spans="1:14" ht="13.8" thickBot="1"/>
    <row r="111" spans="1:14" ht="14.4" thickTop="1" thickBot="1">
      <c r="A111" s="302" t="s">
        <v>403</v>
      </c>
      <c r="B111" s="302"/>
      <c r="C111" s="302"/>
      <c r="D111" s="302"/>
      <c r="E111" s="302"/>
      <c r="F111" s="302"/>
      <c r="G111" s="302"/>
      <c r="H111" s="302"/>
      <c r="I111" s="302"/>
      <c r="J111" s="302"/>
      <c r="K111" s="302"/>
      <c r="L111" s="302"/>
    </row>
    <row r="112" spans="1:14">
      <c r="A112" s="297" t="s">
        <v>15</v>
      </c>
      <c r="B112" s="298"/>
      <c r="C112" s="298"/>
      <c r="D112" s="287" t="s">
        <v>16</v>
      </c>
      <c r="E112" s="287"/>
      <c r="F112" s="287" t="s">
        <v>17</v>
      </c>
      <c r="G112" s="287"/>
      <c r="H112" s="30" t="s">
        <v>18</v>
      </c>
      <c r="I112" s="287" t="s">
        <v>19</v>
      </c>
      <c r="J112" s="287"/>
      <c r="K112" s="287" t="s">
        <v>20</v>
      </c>
      <c r="L112" s="288"/>
    </row>
    <row r="113" spans="1:15" ht="12.75" customHeight="1">
      <c r="A113" s="299" t="s">
        <v>31</v>
      </c>
      <c r="B113" s="300"/>
      <c r="C113" s="300"/>
      <c r="D113" s="534" t="s">
        <v>384</v>
      </c>
      <c r="E113" s="534"/>
      <c r="F113" s="534" t="s">
        <v>393</v>
      </c>
      <c r="G113" s="534"/>
      <c r="H113" s="289" t="s">
        <v>406</v>
      </c>
      <c r="I113" s="289" t="s">
        <v>408</v>
      </c>
      <c r="J113" s="289"/>
      <c r="K113" s="289" t="s">
        <v>409</v>
      </c>
      <c r="L113" s="533"/>
    </row>
    <row r="114" spans="1:15">
      <c r="A114" s="301"/>
      <c r="B114" s="300"/>
      <c r="C114" s="300"/>
      <c r="D114" s="534"/>
      <c r="E114" s="534"/>
      <c r="F114" s="534"/>
      <c r="G114" s="534"/>
      <c r="H114" s="289"/>
      <c r="I114" s="289"/>
      <c r="J114" s="289"/>
      <c r="K114" s="289"/>
      <c r="L114" s="533"/>
    </row>
    <row r="115" spans="1:15" ht="12.75" customHeight="1">
      <c r="A115" s="301"/>
      <c r="B115" s="300"/>
      <c r="C115" s="300"/>
      <c r="D115" s="348" t="s">
        <v>404</v>
      </c>
      <c r="E115" s="532"/>
      <c r="F115" s="348" t="s">
        <v>405</v>
      </c>
      <c r="G115" s="532"/>
      <c r="H115" s="348" t="s">
        <v>407</v>
      </c>
      <c r="I115" s="348" t="s">
        <v>610</v>
      </c>
      <c r="J115" s="334"/>
      <c r="K115" s="348" t="s">
        <v>820</v>
      </c>
      <c r="L115" s="412"/>
    </row>
    <row r="116" spans="1:15">
      <c r="A116" s="301"/>
      <c r="B116" s="300"/>
      <c r="C116" s="300"/>
      <c r="D116" s="532"/>
      <c r="E116" s="532"/>
      <c r="F116" s="532"/>
      <c r="G116" s="532"/>
      <c r="H116" s="532"/>
      <c r="I116" s="291"/>
      <c r="J116" s="334"/>
      <c r="K116" s="532"/>
      <c r="L116" s="412"/>
    </row>
    <row r="117" spans="1:15">
      <c r="A117" s="292" t="s">
        <v>34</v>
      </c>
      <c r="B117" s="293"/>
      <c r="C117" s="293"/>
      <c r="D117" s="295">
        <f>IF($J$9="3SG","--",IF($J$9="4SG","--",N53))</f>
        <v>1.3340843594658118</v>
      </c>
      <c r="E117" s="286"/>
      <c r="F117" s="295">
        <f>IF($J$9="3SG","--",IF($J$9="4SG","--",N85))</f>
        <v>0.22070436721094103</v>
      </c>
      <c r="G117" s="286"/>
      <c r="H117" s="62">
        <f>IF($J$9="3SG","--",IF($J$9="4SG","--",(D117+F117)))</f>
        <v>1.5547887266767528</v>
      </c>
      <c r="I117" s="295">
        <f>IF(OR(J9="3ST",J9="4ST"),VLOOKUP(J9,'Intersection Tables'!M68:R69,IF('Intersection Tables'!N65="No",3,5),FALSE),"--")</f>
        <v>0.01</v>
      </c>
      <c r="J117" s="296"/>
      <c r="K117" s="535">
        <f>IF(J9="3SG","--",IF(J9="4SG","--",$H$117*$I$117))</f>
        <v>1.5547887266767528E-2</v>
      </c>
      <c r="L117" s="536"/>
    </row>
    <row r="118" spans="1:15" ht="13.8" thickBot="1">
      <c r="A118" s="309" t="s">
        <v>133</v>
      </c>
      <c r="B118" s="310"/>
      <c r="C118" s="310"/>
      <c r="D118" s="283" t="s">
        <v>13</v>
      </c>
      <c r="E118" s="332"/>
      <c r="F118" s="283" t="s">
        <v>13</v>
      </c>
      <c r="G118" s="332"/>
      <c r="H118" s="128" t="s">
        <v>13</v>
      </c>
      <c r="I118" s="283" t="s">
        <v>13</v>
      </c>
      <c r="J118" s="332"/>
      <c r="K118" s="541">
        <f>+K117</f>
        <v>1.5547887266767528E-2</v>
      </c>
      <c r="L118" s="542"/>
    </row>
    <row r="121" spans="1:15" ht="13.8" thickBot="1"/>
    <row r="122" spans="1:15" ht="14.4" thickTop="1" thickBot="1">
      <c r="B122" s="737" t="s">
        <v>410</v>
      </c>
      <c r="C122" s="738"/>
      <c r="D122" s="738"/>
      <c r="E122" s="738"/>
      <c r="F122" s="738"/>
      <c r="G122" s="738"/>
      <c r="H122" s="738"/>
      <c r="I122" s="738"/>
      <c r="J122" s="738"/>
      <c r="K122" s="738"/>
      <c r="L122" s="738"/>
      <c r="M122" s="738"/>
      <c r="N122" s="26"/>
      <c r="O122" s="26"/>
    </row>
    <row r="123" spans="1:15">
      <c r="B123" s="297" t="s">
        <v>15</v>
      </c>
      <c r="C123" s="298"/>
      <c r="D123" s="298"/>
      <c r="E123" s="406" t="s">
        <v>16</v>
      </c>
      <c r="F123" s="298"/>
      <c r="G123" s="298"/>
      <c r="H123" s="406" t="s">
        <v>17</v>
      </c>
      <c r="I123" s="298"/>
      <c r="J123" s="298"/>
      <c r="K123" s="406" t="s">
        <v>18</v>
      </c>
      <c r="L123" s="298"/>
      <c r="M123" s="298"/>
    </row>
    <row r="124" spans="1:15">
      <c r="B124" s="617" t="s">
        <v>411</v>
      </c>
      <c r="C124" s="290"/>
      <c r="D124" s="290"/>
      <c r="E124" s="290" t="s">
        <v>412</v>
      </c>
      <c r="F124" s="290"/>
      <c r="G124" s="290"/>
      <c r="H124" s="290" t="s">
        <v>413</v>
      </c>
      <c r="I124" s="290"/>
      <c r="J124" s="290"/>
      <c r="K124" s="348" t="s">
        <v>81</v>
      </c>
      <c r="L124" s="348"/>
      <c r="M124" s="319"/>
    </row>
    <row r="125" spans="1:15" ht="15.6">
      <c r="B125" s="617" t="s">
        <v>414</v>
      </c>
      <c r="C125" s="290"/>
      <c r="D125" s="290"/>
      <c r="E125" s="290" t="s">
        <v>415</v>
      </c>
      <c r="F125" s="290"/>
      <c r="G125" s="290"/>
      <c r="H125" s="290" t="s">
        <v>416</v>
      </c>
      <c r="I125" s="290"/>
      <c r="J125" s="290"/>
      <c r="K125" s="532"/>
      <c r="L125" s="532"/>
      <c r="M125" s="412"/>
    </row>
    <row r="126" spans="1:15">
      <c r="B126" s="617" t="s">
        <v>611</v>
      </c>
      <c r="C126" s="290"/>
      <c r="D126" s="290"/>
      <c r="E126" s="290" t="s">
        <v>612</v>
      </c>
      <c r="F126" s="290"/>
      <c r="G126" s="290"/>
      <c r="H126" s="290" t="s">
        <v>613</v>
      </c>
      <c r="I126" s="290"/>
      <c r="J126" s="290"/>
      <c r="K126" s="290" t="s">
        <v>417</v>
      </c>
      <c r="L126" s="291"/>
      <c r="M126" s="285"/>
    </row>
    <row r="127" spans="1:15" ht="13.8" thickBot="1">
      <c r="B127" s="418" t="str">
        <f>IF($J$9="3ST","--",IF($J$9="4ST","--",IF($J$31=0,1,IF($J$31&lt;3,2.78,4.15))))</f>
        <v>--</v>
      </c>
      <c r="C127" s="321"/>
      <c r="D127" s="321"/>
      <c r="E127" s="321" t="str">
        <f>IF($J$9="3ST","--",IF($J$9="4ST","--",IF($J$32="Present",1.35,1)))</f>
        <v>--</v>
      </c>
      <c r="F127" s="321"/>
      <c r="G127" s="321"/>
      <c r="H127" s="321" t="str">
        <f>IF(J9="3ST","--",IF(J9="4ST","--",IF(J33=0,1,IF(J33&lt;9,1.12,1.56))))</f>
        <v>--</v>
      </c>
      <c r="I127" s="321"/>
      <c r="J127" s="321"/>
      <c r="K127" s="736" t="str">
        <f>IF(J9="3ST","--",IF(J9="4ST","--",B127*E127*H127))</f>
        <v>--</v>
      </c>
      <c r="L127" s="736"/>
      <c r="M127" s="415"/>
    </row>
    <row r="130" spans="1:14" ht="13.8" thickBot="1"/>
    <row r="131" spans="1:14" ht="14.4" thickTop="1" thickBot="1">
      <c r="A131" s="302" t="s">
        <v>418</v>
      </c>
      <c r="B131" s="358"/>
      <c r="C131" s="358"/>
      <c r="D131" s="358"/>
      <c r="E131" s="358"/>
      <c r="F131" s="358"/>
      <c r="G131" s="358"/>
      <c r="H131" s="358"/>
      <c r="I131" s="359"/>
      <c r="J131" s="359"/>
      <c r="K131" s="359"/>
      <c r="L131" s="359"/>
      <c r="M131" s="359"/>
      <c r="N131" s="359"/>
    </row>
    <row r="132" spans="1:14">
      <c r="A132" s="297" t="s">
        <v>15</v>
      </c>
      <c r="B132" s="351"/>
      <c r="C132" s="287" t="s">
        <v>16</v>
      </c>
      <c r="D132" s="287"/>
      <c r="E132" s="287"/>
      <c r="F132" s="287"/>
      <c r="G132" s="287"/>
      <c r="H132" s="30" t="s">
        <v>17</v>
      </c>
      <c r="I132" s="287" t="s">
        <v>18</v>
      </c>
      <c r="J132" s="287"/>
      <c r="K132" s="287" t="s">
        <v>19</v>
      </c>
      <c r="L132" s="287"/>
      <c r="M132" s="30" t="s">
        <v>20</v>
      </c>
      <c r="N132" s="67" t="s">
        <v>21</v>
      </c>
    </row>
    <row r="133" spans="1:14" ht="13.2" customHeight="1">
      <c r="A133" s="753" t="s">
        <v>31</v>
      </c>
      <c r="B133" s="754"/>
      <c r="C133" s="397" t="s">
        <v>86</v>
      </c>
      <c r="D133" s="397"/>
      <c r="E133" s="397"/>
      <c r="F133" s="397"/>
      <c r="G133" s="397"/>
      <c r="H133" s="502" t="s">
        <v>684</v>
      </c>
      <c r="I133" s="289" t="s">
        <v>421</v>
      </c>
      <c r="J133" s="289"/>
      <c r="K133" s="289" t="s">
        <v>81</v>
      </c>
      <c r="L133" s="289"/>
      <c r="M133" s="338" t="s">
        <v>750</v>
      </c>
      <c r="N133" s="533" t="s">
        <v>626</v>
      </c>
    </row>
    <row r="134" spans="1:14" ht="13.2" customHeight="1">
      <c r="A134" s="345"/>
      <c r="B134" s="345"/>
      <c r="C134" s="397"/>
      <c r="D134" s="397"/>
      <c r="E134" s="397"/>
      <c r="F134" s="397"/>
      <c r="G134" s="397"/>
      <c r="H134" s="522"/>
      <c r="I134" s="289"/>
      <c r="J134" s="289"/>
      <c r="K134" s="289"/>
      <c r="L134" s="289"/>
      <c r="M134" s="352"/>
      <c r="N134" s="533"/>
    </row>
    <row r="135" spans="1:14" ht="13.2" customHeight="1">
      <c r="A135" s="345"/>
      <c r="B135" s="345"/>
      <c r="C135" s="290" t="s">
        <v>614</v>
      </c>
      <c r="D135" s="290"/>
      <c r="E135" s="290"/>
      <c r="F135" s="290"/>
      <c r="G135" s="290"/>
      <c r="H135" s="758"/>
      <c r="I135" s="348" t="s">
        <v>503</v>
      </c>
      <c r="J135" s="532"/>
      <c r="K135" s="348" t="s">
        <v>422</v>
      </c>
      <c r="L135" s="532"/>
      <c r="M135" s="353"/>
      <c r="N135" s="319" t="s">
        <v>293</v>
      </c>
    </row>
    <row r="136" spans="1:14" ht="13.2" customHeight="1">
      <c r="A136" s="346"/>
      <c r="B136" s="346"/>
      <c r="C136" s="125" t="s">
        <v>87</v>
      </c>
      <c r="D136" s="125" t="s">
        <v>88</v>
      </c>
      <c r="E136" s="125" t="s">
        <v>382</v>
      </c>
      <c r="F136" s="70" t="s">
        <v>419</v>
      </c>
      <c r="G136" s="70" t="s">
        <v>420</v>
      </c>
      <c r="H136" s="148" t="s">
        <v>652</v>
      </c>
      <c r="I136" s="532"/>
      <c r="J136" s="532"/>
      <c r="K136" s="532"/>
      <c r="L136" s="532"/>
      <c r="M136" s="353"/>
      <c r="N136" s="412"/>
    </row>
    <row r="137" spans="1:14">
      <c r="A137" s="336" t="s">
        <v>34</v>
      </c>
      <c r="B137" s="357"/>
      <c r="C137" s="11" t="str">
        <f>IF($J$9="3ST","--",IF($J$9="4ST","--",(VLOOKUP($J$9&amp;IF('Intersection Tables'!$D$27="No"," (HSM)"," (Local)"),'Intersection Tables'!$B$30:$H$35,MATCH(C$136,'Intersection Tables'!$B$30:$H$30,0),FALSE))))</f>
        <v>--</v>
      </c>
      <c r="D137" s="11" t="str">
        <f>IF($J$9="3ST","--",IF($J$9="4ST","--",(VLOOKUP($J$9&amp;IF('Intersection Tables'!$D$27="No"," (HSM)"," (Local)"),'Intersection Tables'!$B$30:$H$35,MATCH(D$136,'Intersection Tables'!$B$30:$H$30,0),FALSE))))</f>
        <v>--</v>
      </c>
      <c r="E137" s="11" t="str">
        <f>IF($J$9="3ST","--",IF($J$9="4ST","--",(VLOOKUP($J$9&amp;IF('Intersection Tables'!$D$27="No"," (HSM)"," (Local)"),'Intersection Tables'!$B$30:$H$35,MATCH(E$136,'Intersection Tables'!$B$30:$H$30,0),FALSE))))</f>
        <v>--</v>
      </c>
      <c r="F137" s="11" t="str">
        <f>IF($J$9="3ST","--",IF($J$9="4ST","--",(VLOOKUP($J$9&amp;IF('Intersection Tables'!$D$27="No"," (HSM)"," (Local)"),'Intersection Tables'!$B$30:$H$35,MATCH(F$136,'Intersection Tables'!$B$30:$H$30,0),FALSE))))</f>
        <v>--</v>
      </c>
      <c r="G137" s="11" t="str">
        <f>IF($J$9="3ST","--",IF($J$9="4ST","--",(VLOOKUP($J$9&amp;IF('Intersection Tables'!$D$27="No"," (HSM)"," (Local)"),'Intersection Tables'!$B$30:$H$35,MATCH(G$136,'Intersection Tables'!$B$30:$H$30,0),FALSE))))</f>
        <v>--</v>
      </c>
      <c r="H137" s="11" t="str">
        <f>IF($J$9="3ST","--",IF($J$9="4ST","--",(VLOOKUP($J$9&amp;IF('Intersection Tables'!$D$27="No"," (HSM)"," (Local)"),'Intersection Tables'!$B$30:$H$35,MATCH(H$136,'Intersection Tables'!$B$30:$H$30,0),FALSE))))</f>
        <v>--</v>
      </c>
      <c r="I137" s="295" t="str">
        <f>IF($J$9="3ST","--",IF($J$9="4ST","--",EXP(+$C137+($D137*LN($J$10+J$11))+(E$137*LN($J$11/$J$10))+(F$137*LN($J$29))+(G$137*$J$30))))</f>
        <v>--</v>
      </c>
      <c r="J137" s="296"/>
      <c r="K137" s="538" t="str">
        <f>+$K$127</f>
        <v>--</v>
      </c>
      <c r="L137" s="756"/>
      <c r="M137" s="11">
        <f>$J$15*VLOOKUP(VLOOKUP($J$12,'Intersection Tables'!$U$29:$V$55,MATCH("Region",'Intersection Tables'!$U$29:$V$29,0),FALSE),'Intersection Tables'!$M$29:$R$34,MATCH($J$13,'Intersection Tables'!$M$29:$R$29,0),FALSE)</f>
        <v>1</v>
      </c>
      <c r="N137" s="185" t="str">
        <f>IF($J$9="3ST","--",IF($J$9="4ST","--",(I137*K137*M137)))</f>
        <v>--</v>
      </c>
    </row>
    <row r="138" spans="1:14" ht="13.8" thickBot="1">
      <c r="A138" s="751" t="s">
        <v>35</v>
      </c>
      <c r="B138" s="752"/>
      <c r="C138" s="135" t="s">
        <v>13</v>
      </c>
      <c r="D138" s="135" t="s">
        <v>13</v>
      </c>
      <c r="E138" s="135" t="s">
        <v>13</v>
      </c>
      <c r="F138" s="135" t="s">
        <v>13</v>
      </c>
      <c r="G138" s="135" t="s">
        <v>13</v>
      </c>
      <c r="H138" s="135" t="s">
        <v>13</v>
      </c>
      <c r="I138" s="755" t="s">
        <v>13</v>
      </c>
      <c r="J138" s="306"/>
      <c r="K138" s="757" t="s">
        <v>13</v>
      </c>
      <c r="L138" s="540"/>
      <c r="M138" s="13">
        <f>$J$15*VLOOKUP(VLOOKUP($J$12,'Intersection Tables'!$U$29:$V$55,MATCH("Region",'Intersection Tables'!$U$29:$V$29,0),FALSE),'Intersection Tables'!$M$29:$R$34,MATCH($J$13,'Intersection Tables'!$M$29:$R$29,0),FALSE)</f>
        <v>1</v>
      </c>
      <c r="N138" s="186" t="str">
        <f>N137</f>
        <v>--</v>
      </c>
    </row>
    <row r="141" spans="1:14" ht="13.8" thickBot="1"/>
    <row r="142" spans="1:14" ht="14.4" customHeight="1" thickTop="1" thickBot="1">
      <c r="A142" s="737" t="s">
        <v>624</v>
      </c>
      <c r="B142" s="737"/>
      <c r="C142" s="737"/>
      <c r="D142" s="737"/>
      <c r="E142" s="737"/>
      <c r="F142" s="737"/>
      <c r="G142" s="737"/>
      <c r="H142" s="737"/>
      <c r="I142" s="737"/>
      <c r="J142" s="737"/>
      <c r="K142" s="737"/>
      <c r="L142" s="737"/>
    </row>
    <row r="143" spans="1:14">
      <c r="A143" s="297" t="s">
        <v>15</v>
      </c>
      <c r="B143" s="298"/>
      <c r="C143" s="298"/>
      <c r="D143" s="287" t="s">
        <v>16</v>
      </c>
      <c r="E143" s="287"/>
      <c r="F143" s="287" t="s">
        <v>17</v>
      </c>
      <c r="G143" s="287"/>
      <c r="H143" s="30" t="s">
        <v>18</v>
      </c>
      <c r="I143" s="287" t="s">
        <v>19</v>
      </c>
      <c r="J143" s="287"/>
      <c r="K143" s="287" t="s">
        <v>20</v>
      </c>
      <c r="L143" s="288"/>
    </row>
    <row r="144" spans="1:14" ht="12.75" customHeight="1">
      <c r="A144" s="299" t="s">
        <v>31</v>
      </c>
      <c r="B144" s="300"/>
      <c r="C144" s="300"/>
      <c r="D144" s="534" t="s">
        <v>384</v>
      </c>
      <c r="E144" s="534"/>
      <c r="F144" s="534" t="s">
        <v>393</v>
      </c>
      <c r="G144" s="534"/>
      <c r="H144" s="289" t="s">
        <v>406</v>
      </c>
      <c r="I144" s="289" t="s">
        <v>423</v>
      </c>
      <c r="J144" s="289"/>
      <c r="K144" s="289" t="s">
        <v>627</v>
      </c>
      <c r="L144" s="533"/>
    </row>
    <row r="145" spans="1:14">
      <c r="A145" s="301"/>
      <c r="B145" s="300"/>
      <c r="C145" s="300"/>
      <c r="D145" s="534"/>
      <c r="E145" s="534"/>
      <c r="F145" s="534"/>
      <c r="G145" s="534"/>
      <c r="H145" s="289"/>
      <c r="I145" s="289"/>
      <c r="J145" s="289"/>
      <c r="K145" s="289"/>
      <c r="L145" s="533"/>
    </row>
    <row r="146" spans="1:14">
      <c r="A146" s="301"/>
      <c r="B146" s="300"/>
      <c r="C146" s="300"/>
      <c r="D146" s="348" t="s">
        <v>404</v>
      </c>
      <c r="E146" s="532"/>
      <c r="F146" s="348" t="s">
        <v>405</v>
      </c>
      <c r="G146" s="532"/>
      <c r="H146" s="348" t="s">
        <v>407</v>
      </c>
      <c r="I146" s="348" t="s">
        <v>615</v>
      </c>
      <c r="J146" s="334"/>
      <c r="K146" s="348" t="s">
        <v>820</v>
      </c>
      <c r="L146" s="412"/>
    </row>
    <row r="147" spans="1:14">
      <c r="A147" s="301"/>
      <c r="B147" s="300"/>
      <c r="C147" s="300"/>
      <c r="D147" s="532"/>
      <c r="E147" s="532"/>
      <c r="F147" s="532"/>
      <c r="G147" s="532"/>
      <c r="H147" s="532"/>
      <c r="I147" s="291"/>
      <c r="J147" s="334"/>
      <c r="K147" s="532"/>
      <c r="L147" s="412"/>
    </row>
    <row r="148" spans="1:14">
      <c r="A148" s="292" t="s">
        <v>34</v>
      </c>
      <c r="B148" s="293"/>
      <c r="C148" s="293"/>
      <c r="D148" s="295">
        <f>+$N$53</f>
        <v>1.3340843594658118</v>
      </c>
      <c r="E148" s="286"/>
      <c r="F148" s="308">
        <f>+$N$85</f>
        <v>0.22070436721094103</v>
      </c>
      <c r="G148" s="308"/>
      <c r="H148" s="3">
        <f>+D148+F148</f>
        <v>1.5547887266767528</v>
      </c>
      <c r="I148" s="749">
        <f>VLOOKUP(J9,'Intersection Tables'!M76:R79,IF('Intersection Tables'!N73="No",3,5),FALSE)</f>
        <v>0.01</v>
      </c>
      <c r="J148" s="750"/>
      <c r="K148" s="535">
        <f>+$H$148*$I$148</f>
        <v>1.5547887266767528E-2</v>
      </c>
      <c r="L148" s="536"/>
    </row>
    <row r="149" spans="1:14" ht="13.8" thickBot="1">
      <c r="A149" s="309" t="s">
        <v>133</v>
      </c>
      <c r="B149" s="310"/>
      <c r="C149" s="310"/>
      <c r="D149" s="283" t="s">
        <v>13</v>
      </c>
      <c r="E149" s="332"/>
      <c r="F149" s="283" t="s">
        <v>13</v>
      </c>
      <c r="G149" s="332"/>
      <c r="H149" s="128" t="s">
        <v>13</v>
      </c>
      <c r="I149" s="283" t="s">
        <v>13</v>
      </c>
      <c r="J149" s="332"/>
      <c r="K149" s="541">
        <f>+$H$148*$I$148</f>
        <v>1.5547887266767528E-2</v>
      </c>
      <c r="L149" s="542"/>
    </row>
    <row r="152" spans="1:14" ht="13.8" thickBot="1"/>
    <row r="153" spans="1:14" ht="14.4" thickTop="1" thickBot="1">
      <c r="A153" s="302" t="s">
        <v>424</v>
      </c>
      <c r="B153" s="358"/>
      <c r="C153" s="358"/>
      <c r="D153" s="358"/>
      <c r="E153" s="358"/>
      <c r="F153" s="358"/>
      <c r="G153" s="358"/>
      <c r="H153" s="358"/>
      <c r="I153" s="359"/>
      <c r="J153" s="359"/>
      <c r="K153" s="359"/>
      <c r="L153" s="359"/>
      <c r="M153" s="359"/>
      <c r="N153" s="359"/>
    </row>
    <row r="154" spans="1:14">
      <c r="A154" s="513" t="s">
        <v>15</v>
      </c>
      <c r="B154" s="514"/>
      <c r="C154" s="514"/>
      <c r="D154" s="514"/>
      <c r="E154" s="514"/>
      <c r="F154" s="555" t="s">
        <v>16</v>
      </c>
      <c r="G154" s="555"/>
      <c r="H154" s="555"/>
      <c r="I154" s="555" t="s">
        <v>17</v>
      </c>
      <c r="J154" s="555"/>
      <c r="K154" s="555"/>
      <c r="L154" s="555" t="s">
        <v>18</v>
      </c>
      <c r="M154" s="555"/>
      <c r="N154" s="556"/>
    </row>
    <row r="155" spans="1:14">
      <c r="A155" s="742" t="s">
        <v>49</v>
      </c>
      <c r="B155" s="743"/>
      <c r="C155" s="743"/>
      <c r="D155" s="743"/>
      <c r="E155" s="744"/>
      <c r="F155" s="564" t="s">
        <v>133</v>
      </c>
      <c r="G155" s="564"/>
      <c r="H155" s="564"/>
      <c r="I155" s="564" t="s">
        <v>134</v>
      </c>
      <c r="J155" s="564"/>
      <c r="K155" s="564"/>
      <c r="L155" s="564" t="s">
        <v>34</v>
      </c>
      <c r="M155" s="564"/>
      <c r="N155" s="565"/>
    </row>
    <row r="156" spans="1:14">
      <c r="A156" s="745"/>
      <c r="B156" s="745"/>
      <c r="C156" s="745"/>
      <c r="D156" s="745"/>
      <c r="E156" s="508"/>
      <c r="F156" s="558" t="s">
        <v>425</v>
      </c>
      <c r="G156" s="558"/>
      <c r="H156" s="558"/>
      <c r="I156" s="558" t="s">
        <v>426</v>
      </c>
      <c r="J156" s="558"/>
      <c r="K156" s="558"/>
      <c r="L156" s="558" t="s">
        <v>427</v>
      </c>
      <c r="M156" s="558"/>
      <c r="N156" s="561"/>
    </row>
    <row r="157" spans="1:14">
      <c r="A157" s="746"/>
      <c r="B157" s="746"/>
      <c r="C157" s="746"/>
      <c r="D157" s="746"/>
      <c r="E157" s="510"/>
      <c r="F157" s="562" t="str">
        <f>IF(RIGHT($J$9,2)="ST","(6) from 2G","(7) from 2I and (6) from 2J")</f>
        <v>(6) from 2G</v>
      </c>
      <c r="G157" s="562"/>
      <c r="H157" s="562"/>
      <c r="I157" s="739"/>
      <c r="J157" s="740"/>
      <c r="K157" s="741"/>
      <c r="L157" s="562" t="str">
        <f>IF(RIGHT($J$9,2)="ST","(6) from 2G","(7) from 2I and (6) from 2J")</f>
        <v>(6) from 2G</v>
      </c>
      <c r="M157" s="562"/>
      <c r="N157" s="563"/>
    </row>
    <row r="158" spans="1:14">
      <c r="A158" s="544" t="s">
        <v>309</v>
      </c>
      <c r="B158" s="543"/>
      <c r="C158" s="543"/>
      <c r="D158" s="543"/>
      <c r="E158" s="543"/>
      <c r="F158" s="543"/>
      <c r="G158" s="543"/>
      <c r="H158" s="543"/>
      <c r="I158" s="543"/>
      <c r="J158" s="543"/>
      <c r="K158" s="543"/>
      <c r="L158" s="543"/>
      <c r="M158" s="543"/>
      <c r="N158" s="472"/>
    </row>
    <row r="159" spans="1:14">
      <c r="A159" s="292" t="s">
        <v>428</v>
      </c>
      <c r="B159" s="334"/>
      <c r="C159" s="334"/>
      <c r="D159" s="334"/>
      <c r="E159" s="334"/>
      <c r="F159" s="308">
        <f>+F70</f>
        <v>2.4926032172259228E-2</v>
      </c>
      <c r="G159" s="291"/>
      <c r="H159" s="291"/>
      <c r="I159" s="308">
        <f>+J70</f>
        <v>4.9731996752166538E-2</v>
      </c>
      <c r="J159" s="291"/>
      <c r="K159" s="291"/>
      <c r="L159" s="308">
        <f>+L70</f>
        <v>7.4658028924425773E-2</v>
      </c>
      <c r="M159" s="291"/>
      <c r="N159" s="285"/>
    </row>
    <row r="160" spans="1:14">
      <c r="A160" s="292" t="s">
        <v>429</v>
      </c>
      <c r="B160" s="334"/>
      <c r="C160" s="334"/>
      <c r="D160" s="334"/>
      <c r="E160" s="334"/>
      <c r="F160" s="308">
        <f>+F71</f>
        <v>3.6927455070013666E-3</v>
      </c>
      <c r="G160" s="291"/>
      <c r="H160" s="291"/>
      <c r="I160" s="308">
        <f>+J71</f>
        <v>0</v>
      </c>
      <c r="J160" s="291"/>
      <c r="K160" s="291"/>
      <c r="L160" s="308">
        <f>+L71</f>
        <v>3.6927455070013666E-3</v>
      </c>
      <c r="M160" s="291"/>
      <c r="N160" s="285"/>
    </row>
    <row r="161" spans="1:14">
      <c r="A161" s="292" t="s">
        <v>430</v>
      </c>
      <c r="B161" s="334"/>
      <c r="C161" s="334"/>
      <c r="D161" s="334"/>
      <c r="E161" s="334"/>
      <c r="F161" s="308">
        <f>+F72</f>
        <v>0.262184930997097</v>
      </c>
      <c r="G161" s="291"/>
      <c r="H161" s="291"/>
      <c r="I161" s="308">
        <f>+J72</f>
        <v>0.48336010878421504</v>
      </c>
      <c r="J161" s="291"/>
      <c r="K161" s="291"/>
      <c r="L161" s="308">
        <f>+L72</f>
        <v>0.74554503978131204</v>
      </c>
      <c r="M161" s="291"/>
      <c r="N161" s="285"/>
    </row>
    <row r="162" spans="1:14">
      <c r="A162" s="292" t="s">
        <v>431</v>
      </c>
      <c r="B162" s="293"/>
      <c r="C162" s="293"/>
      <c r="D162" s="293"/>
      <c r="E162" s="293"/>
      <c r="F162" s="308">
        <f>+F73</f>
        <v>5.5391182605020496E-3</v>
      </c>
      <c r="G162" s="291"/>
      <c r="H162" s="291"/>
      <c r="I162" s="308">
        <f>+J73</f>
        <v>3.2282173330353721E-2</v>
      </c>
      <c r="J162" s="291"/>
      <c r="K162" s="291"/>
      <c r="L162" s="308">
        <f>+L73</f>
        <v>3.7821291590855774E-2</v>
      </c>
      <c r="M162" s="291"/>
      <c r="N162" s="285"/>
    </row>
    <row r="163" spans="1:14">
      <c r="A163" s="292" t="s">
        <v>432</v>
      </c>
      <c r="B163" s="293"/>
      <c r="C163" s="293"/>
      <c r="D163" s="293"/>
      <c r="E163" s="293"/>
      <c r="F163" s="308">
        <f>+F74</f>
        <v>0.16571195462668631</v>
      </c>
      <c r="G163" s="291"/>
      <c r="H163" s="291"/>
      <c r="I163" s="308">
        <f>+J74</f>
        <v>0.30711689222390565</v>
      </c>
      <c r="J163" s="291"/>
      <c r="K163" s="291"/>
      <c r="L163" s="308">
        <f>+L74</f>
        <v>0.47282884685059196</v>
      </c>
      <c r="M163" s="291"/>
      <c r="N163" s="285"/>
    </row>
    <row r="164" spans="1:14" ht="13.8" thickBot="1">
      <c r="A164" s="573" t="s">
        <v>318</v>
      </c>
      <c r="B164" s="558"/>
      <c r="C164" s="558"/>
      <c r="D164" s="558"/>
      <c r="E164" s="558"/>
      <c r="F164" s="566">
        <f>SUM(F159:H163)</f>
        <v>0.46205478156354596</v>
      </c>
      <c r="G164" s="567"/>
      <c r="H164" s="567"/>
      <c r="I164" s="566">
        <f>SUM(I159:K163)</f>
        <v>0.87249117109064089</v>
      </c>
      <c r="J164" s="567"/>
      <c r="K164" s="567"/>
      <c r="L164" s="566">
        <f>SUM(L159:N163)</f>
        <v>1.334545952654187</v>
      </c>
      <c r="M164" s="567"/>
      <c r="N164" s="574"/>
    </row>
    <row r="165" spans="1:14">
      <c r="A165" s="568" t="s">
        <v>310</v>
      </c>
      <c r="B165" s="569"/>
      <c r="C165" s="569"/>
      <c r="D165" s="569"/>
      <c r="E165" s="569"/>
      <c r="F165" s="569"/>
      <c r="G165" s="569"/>
      <c r="H165" s="569"/>
      <c r="I165" s="569"/>
      <c r="J165" s="569"/>
      <c r="K165" s="569"/>
      <c r="L165" s="569"/>
      <c r="M165" s="569"/>
      <c r="N165" s="570"/>
    </row>
    <row r="166" spans="1:14">
      <c r="A166" s="292" t="s">
        <v>433</v>
      </c>
      <c r="B166" s="293"/>
      <c r="C166" s="293"/>
      <c r="D166" s="293"/>
      <c r="E166" s="293"/>
      <c r="F166" s="308">
        <f t="shared" ref="F166:F171" si="0">+F102</f>
        <v>2.0161343944719466E-3</v>
      </c>
      <c r="G166" s="291"/>
      <c r="H166" s="291"/>
      <c r="I166" s="308">
        <f t="shared" ref="I166:I171" si="1">+J102</f>
        <v>1.8444263967818338E-2</v>
      </c>
      <c r="J166" s="291"/>
      <c r="K166" s="291"/>
      <c r="L166" s="308">
        <f t="shared" ref="L166:L171" si="2">+L102</f>
        <v>2.0460398362290286E-2</v>
      </c>
      <c r="M166" s="291"/>
      <c r="N166" s="285"/>
    </row>
    <row r="167" spans="1:14">
      <c r="A167" s="292" t="s">
        <v>434</v>
      </c>
      <c r="B167" s="293"/>
      <c r="C167" s="293"/>
      <c r="D167" s="293"/>
      <c r="E167" s="293"/>
      <c r="F167" s="308">
        <f t="shared" si="0"/>
        <v>0</v>
      </c>
      <c r="G167" s="291"/>
      <c r="H167" s="291"/>
      <c r="I167" s="308">
        <f t="shared" si="1"/>
        <v>0</v>
      </c>
      <c r="J167" s="291"/>
      <c r="K167" s="291"/>
      <c r="L167" s="308">
        <f t="shared" si="2"/>
        <v>0</v>
      </c>
      <c r="M167" s="291"/>
      <c r="N167" s="285"/>
    </row>
    <row r="168" spans="1:14">
      <c r="A168" s="292" t="s">
        <v>435</v>
      </c>
      <c r="B168" s="293"/>
      <c r="C168" s="293"/>
      <c r="D168" s="293"/>
      <c r="E168" s="293"/>
      <c r="F168" s="308">
        <f t="shared" si="0"/>
        <v>2.8643012776635932E-2</v>
      </c>
      <c r="G168" s="291"/>
      <c r="H168" s="291"/>
      <c r="I168" s="308">
        <f t="shared" si="1"/>
        <v>0.11066558380691004</v>
      </c>
      <c r="J168" s="291"/>
      <c r="K168" s="291"/>
      <c r="L168" s="308">
        <f t="shared" si="2"/>
        <v>0.13930859658354597</v>
      </c>
      <c r="M168" s="291"/>
      <c r="N168" s="285"/>
    </row>
    <row r="169" spans="1:14">
      <c r="A169" s="292" t="s">
        <v>436</v>
      </c>
      <c r="B169" s="293"/>
      <c r="C169" s="293"/>
      <c r="D169" s="293"/>
      <c r="E169" s="293"/>
      <c r="F169" s="308">
        <f t="shared" si="0"/>
        <v>0</v>
      </c>
      <c r="G169" s="291"/>
      <c r="H169" s="291"/>
      <c r="I169" s="308">
        <f t="shared" si="1"/>
        <v>1.8141898984739351E-3</v>
      </c>
      <c r="J169" s="291"/>
      <c r="K169" s="291"/>
      <c r="L169" s="308">
        <f t="shared" si="2"/>
        <v>1.8141898984739351E-3</v>
      </c>
      <c r="M169" s="291"/>
      <c r="N169" s="285"/>
    </row>
    <row r="170" spans="1:14">
      <c r="A170" s="292" t="s">
        <v>437</v>
      </c>
      <c r="B170" s="293"/>
      <c r="C170" s="293"/>
      <c r="D170" s="293"/>
      <c r="E170" s="293"/>
      <c r="F170" s="308">
        <f t="shared" si="0"/>
        <v>3.8862728500338561E-2</v>
      </c>
      <c r="G170" s="291"/>
      <c r="H170" s="291"/>
      <c r="I170" s="308">
        <f t="shared" si="1"/>
        <v>2.0258453866292277E-2</v>
      </c>
      <c r="J170" s="291"/>
      <c r="K170" s="291"/>
      <c r="L170" s="308">
        <f t="shared" si="2"/>
        <v>5.9121182366630838E-2</v>
      </c>
      <c r="M170" s="291"/>
      <c r="N170" s="285"/>
    </row>
    <row r="171" spans="1:14">
      <c r="A171" s="292" t="s">
        <v>438</v>
      </c>
      <c r="B171" s="293"/>
      <c r="C171" s="293"/>
      <c r="D171" s="293"/>
      <c r="E171" s="293"/>
      <c r="F171" s="308" t="str">
        <f t="shared" si="0"/>
        <v>--</v>
      </c>
      <c r="G171" s="291"/>
      <c r="H171" s="291"/>
      <c r="I171" s="308" t="str">
        <f t="shared" si="1"/>
        <v>--</v>
      </c>
      <c r="J171" s="291"/>
      <c r="K171" s="291"/>
      <c r="L171" s="308" t="str">
        <f t="shared" si="2"/>
        <v>--</v>
      </c>
      <c r="M171" s="291"/>
      <c r="N171" s="285"/>
    </row>
    <row r="172" spans="1:14">
      <c r="A172" s="292" t="s">
        <v>439</v>
      </c>
      <c r="B172" s="293"/>
      <c r="C172" s="293"/>
      <c r="D172" s="293"/>
      <c r="E172" s="293"/>
      <c r="F172" s="308">
        <f>IF(J9="3ST",K118,IF(J9="4ST",K118,N138))</f>
        <v>1.5547887266767528E-2</v>
      </c>
      <c r="G172" s="291"/>
      <c r="H172" s="291"/>
      <c r="I172" s="308">
        <v>0</v>
      </c>
      <c r="J172" s="308"/>
      <c r="K172" s="308"/>
      <c r="L172" s="308">
        <f>+F172+I172</f>
        <v>1.5547887266767528E-2</v>
      </c>
      <c r="M172" s="291"/>
      <c r="N172" s="285"/>
    </row>
    <row r="173" spans="1:14">
      <c r="A173" s="292" t="s">
        <v>440</v>
      </c>
      <c r="B173" s="293"/>
      <c r="C173" s="293"/>
      <c r="D173" s="293"/>
      <c r="E173" s="293"/>
      <c r="F173" s="308">
        <f>+K149</f>
        <v>1.5547887266767528E-2</v>
      </c>
      <c r="G173" s="291"/>
      <c r="H173" s="291"/>
      <c r="I173" s="308">
        <v>0</v>
      </c>
      <c r="J173" s="308"/>
      <c r="K173" s="308"/>
      <c r="L173" s="308">
        <f>+F173+I173</f>
        <v>1.5547887266767528E-2</v>
      </c>
      <c r="M173" s="291"/>
      <c r="N173" s="285"/>
    </row>
    <row r="174" spans="1:14" ht="13.8" thickBot="1">
      <c r="A174" s="573" t="s">
        <v>318</v>
      </c>
      <c r="B174" s="558"/>
      <c r="C174" s="558"/>
      <c r="D174" s="558"/>
      <c r="E174" s="558"/>
      <c r="F174" s="566">
        <f>SUM(F166:H173)</f>
        <v>0.10061765020498151</v>
      </c>
      <c r="G174" s="567"/>
      <c r="H174" s="567"/>
      <c r="I174" s="566">
        <f>SUM(I166:K173)</f>
        <v>0.15118249153949456</v>
      </c>
      <c r="J174" s="567"/>
      <c r="K174" s="567"/>
      <c r="L174" s="566">
        <f>SUM(L166:N173)</f>
        <v>0.25180014174447607</v>
      </c>
      <c r="M174" s="567"/>
      <c r="N174" s="574"/>
    </row>
    <row r="175" spans="1:14" ht="13.8" thickBot="1">
      <c r="A175" s="571" t="s">
        <v>34</v>
      </c>
      <c r="B175" s="572"/>
      <c r="C175" s="572"/>
      <c r="D175" s="572"/>
      <c r="E175" s="572"/>
      <c r="F175" s="575">
        <f>+F164+F174</f>
        <v>0.56267243176852744</v>
      </c>
      <c r="G175" s="576"/>
      <c r="H175" s="576"/>
      <c r="I175" s="575">
        <f>+I164+I174</f>
        <v>1.0236736626301355</v>
      </c>
      <c r="J175" s="576"/>
      <c r="K175" s="576"/>
      <c r="L175" s="575">
        <f>+L164+L174</f>
        <v>1.5863460943986629</v>
      </c>
      <c r="M175" s="576"/>
      <c r="N175" s="577"/>
    </row>
    <row r="178" spans="5:11" ht="13.8" thickBot="1"/>
    <row r="179" spans="5:11" ht="14.4" thickTop="1" thickBot="1">
      <c r="E179" s="595" t="s">
        <v>441</v>
      </c>
      <c r="F179" s="595"/>
      <c r="G179" s="595"/>
      <c r="H179" s="595"/>
      <c r="I179" s="595"/>
      <c r="J179" s="595"/>
      <c r="K179" s="595"/>
    </row>
    <row r="180" spans="5:11">
      <c r="E180" s="406" t="s">
        <v>15</v>
      </c>
      <c r="F180" s="287"/>
      <c r="G180" s="287"/>
      <c r="H180" s="287" t="s">
        <v>16</v>
      </c>
      <c r="I180" s="287"/>
      <c r="J180" s="287"/>
      <c r="K180" s="288"/>
    </row>
    <row r="181" spans="5:11">
      <c r="E181" s="299" t="s">
        <v>42</v>
      </c>
      <c r="F181" s="300"/>
      <c r="G181" s="300"/>
      <c r="H181" s="289" t="s">
        <v>442</v>
      </c>
      <c r="I181" s="289"/>
      <c r="J181" s="289"/>
      <c r="K181" s="533"/>
    </row>
    <row r="182" spans="5:11">
      <c r="E182" s="301"/>
      <c r="F182" s="300"/>
      <c r="G182" s="300"/>
      <c r="H182" s="289"/>
      <c r="I182" s="289"/>
      <c r="J182" s="289"/>
      <c r="K182" s="533"/>
    </row>
    <row r="183" spans="5:11">
      <c r="E183" s="301"/>
      <c r="F183" s="300"/>
      <c r="G183" s="300"/>
      <c r="H183" s="532"/>
      <c r="I183" s="532"/>
      <c r="J183" s="532"/>
      <c r="K183" s="412"/>
    </row>
    <row r="184" spans="5:11">
      <c r="E184" s="301"/>
      <c r="F184" s="300"/>
      <c r="G184" s="300"/>
      <c r="H184" s="290" t="s">
        <v>443</v>
      </c>
      <c r="I184" s="290"/>
      <c r="J184" s="290"/>
      <c r="K184" s="438"/>
    </row>
    <row r="185" spans="5:11">
      <c r="E185" s="292" t="s">
        <v>34</v>
      </c>
      <c r="F185" s="293"/>
      <c r="G185" s="293"/>
      <c r="H185" s="311">
        <f>+L175</f>
        <v>1.5863460943986629</v>
      </c>
      <c r="I185" s="311"/>
      <c r="J185" s="311"/>
      <c r="K185" s="748"/>
    </row>
    <row r="186" spans="5:11">
      <c r="E186" s="292" t="s">
        <v>133</v>
      </c>
      <c r="F186" s="293"/>
      <c r="G186" s="293"/>
      <c r="H186" s="311">
        <f>+F175</f>
        <v>0.56267243176852744</v>
      </c>
      <c r="I186" s="311"/>
      <c r="J186" s="311"/>
      <c r="K186" s="748"/>
    </row>
    <row r="187" spans="5:11" ht="13.8" thickBot="1">
      <c r="E187" s="309" t="s">
        <v>134</v>
      </c>
      <c r="F187" s="310"/>
      <c r="G187" s="310"/>
      <c r="H187" s="312">
        <f>+I175</f>
        <v>1.0236736626301355</v>
      </c>
      <c r="I187" s="312"/>
      <c r="J187" s="312"/>
      <c r="K187" s="747"/>
    </row>
  </sheetData>
  <sheetProtection sheet="1" objects="1" scenarios="1"/>
  <mergeCells count="546">
    <mergeCell ref="A18:G18"/>
    <mergeCell ref="H18:I18"/>
    <mergeCell ref="J18:N18"/>
    <mergeCell ref="H15:I15"/>
    <mergeCell ref="J15:N15"/>
    <mergeCell ref="A16:G16"/>
    <mergeCell ref="H16:I16"/>
    <mergeCell ref="J16:N16"/>
    <mergeCell ref="J14:N14"/>
    <mergeCell ref="A14:G14"/>
    <mergeCell ref="H14:I14"/>
    <mergeCell ref="A15:G15"/>
    <mergeCell ref="K6:N6"/>
    <mergeCell ref="H10:I10"/>
    <mergeCell ref="J10:N10"/>
    <mergeCell ref="A10:C10"/>
    <mergeCell ref="A11:C11"/>
    <mergeCell ref="D10:D11"/>
    <mergeCell ref="A17:G17"/>
    <mergeCell ref="H17:I17"/>
    <mergeCell ref="J17:N17"/>
    <mergeCell ref="H11:I11"/>
    <mergeCell ref="J11:N11"/>
    <mergeCell ref="A12:G12"/>
    <mergeCell ref="H12:I12"/>
    <mergeCell ref="J12:N12"/>
    <mergeCell ref="A13:G13"/>
    <mergeCell ref="H13:I13"/>
    <mergeCell ref="J13:N13"/>
    <mergeCell ref="A2:N2"/>
    <mergeCell ref="A3:G3"/>
    <mergeCell ref="H3:N3"/>
    <mergeCell ref="A4:C4"/>
    <mergeCell ref="E4:G4"/>
    <mergeCell ref="H4:J4"/>
    <mergeCell ref="K4:N4"/>
    <mergeCell ref="A9:G9"/>
    <mergeCell ref="H9:I9"/>
    <mergeCell ref="J9:N9"/>
    <mergeCell ref="A7:C7"/>
    <mergeCell ref="E7:G7"/>
    <mergeCell ref="H7:J7"/>
    <mergeCell ref="K7:N7"/>
    <mergeCell ref="A8:G8"/>
    <mergeCell ref="H8:I8"/>
    <mergeCell ref="J8:N8"/>
    <mergeCell ref="A5:C5"/>
    <mergeCell ref="E5:G5"/>
    <mergeCell ref="H5:J5"/>
    <mergeCell ref="K5:N5"/>
    <mergeCell ref="A6:C6"/>
    <mergeCell ref="E6:G6"/>
    <mergeCell ref="H6:J6"/>
    <mergeCell ref="A31:G31"/>
    <mergeCell ref="H31:I31"/>
    <mergeCell ref="J31:N31"/>
    <mergeCell ref="A25:G25"/>
    <mergeCell ref="H25:I25"/>
    <mergeCell ref="H20:I20"/>
    <mergeCell ref="J20:N20"/>
    <mergeCell ref="H24:I24"/>
    <mergeCell ref="A22:G22"/>
    <mergeCell ref="H23:I23"/>
    <mergeCell ref="J23:N23"/>
    <mergeCell ref="H28:I28"/>
    <mergeCell ref="J28:N28"/>
    <mergeCell ref="A27:G27"/>
    <mergeCell ref="H27:I27"/>
    <mergeCell ref="J27:N27"/>
    <mergeCell ref="J25:N25"/>
    <mergeCell ref="A24:G24"/>
    <mergeCell ref="J24:N24"/>
    <mergeCell ref="A26:G26"/>
    <mergeCell ref="H26:I26"/>
    <mergeCell ref="A19:G19"/>
    <mergeCell ref="H19:I19"/>
    <mergeCell ref="J19:N19"/>
    <mergeCell ref="A20:G20"/>
    <mergeCell ref="H21:I21"/>
    <mergeCell ref="J21:N21"/>
    <mergeCell ref="H22:I22"/>
    <mergeCell ref="I39:J40"/>
    <mergeCell ref="C39:D40"/>
    <mergeCell ref="J22:N22"/>
    <mergeCell ref="E39:F40"/>
    <mergeCell ref="G39:H40"/>
    <mergeCell ref="M38:N38"/>
    <mergeCell ref="M39:N40"/>
    <mergeCell ref="A21:G21"/>
    <mergeCell ref="A28:G28"/>
    <mergeCell ref="H29:I29"/>
    <mergeCell ref="J29:N29"/>
    <mergeCell ref="H30:I30"/>
    <mergeCell ref="J30:N30"/>
    <mergeCell ref="A23:G23"/>
    <mergeCell ref="A30:G30"/>
    <mergeCell ref="A29:G29"/>
    <mergeCell ref="J26:N26"/>
    <mergeCell ref="A33:G33"/>
    <mergeCell ref="H33:I33"/>
    <mergeCell ref="J33:N33"/>
    <mergeCell ref="A38:B38"/>
    <mergeCell ref="C38:D38"/>
    <mergeCell ref="H32:I32"/>
    <mergeCell ref="J32:N32"/>
    <mergeCell ref="K38:L38"/>
    <mergeCell ref="K39:L40"/>
    <mergeCell ref="E38:F38"/>
    <mergeCell ref="G38:H38"/>
    <mergeCell ref="I38:J38"/>
    <mergeCell ref="A37:N37"/>
    <mergeCell ref="A32:G32"/>
    <mergeCell ref="A39:B40"/>
    <mergeCell ref="C41:D41"/>
    <mergeCell ref="C42:D42"/>
    <mergeCell ref="A47:N47"/>
    <mergeCell ref="A48:B48"/>
    <mergeCell ref="I48:J48"/>
    <mergeCell ref="C48:E48"/>
    <mergeCell ref="I42:J42"/>
    <mergeCell ref="I43:J43"/>
    <mergeCell ref="A41:B41"/>
    <mergeCell ref="K41:L41"/>
    <mergeCell ref="E41:F41"/>
    <mergeCell ref="E42:F42"/>
    <mergeCell ref="E43:F43"/>
    <mergeCell ref="G41:H41"/>
    <mergeCell ref="G42:H42"/>
    <mergeCell ref="G43:H43"/>
    <mergeCell ref="I41:J41"/>
    <mergeCell ref="M41:N41"/>
    <mergeCell ref="K42:L42"/>
    <mergeCell ref="K43:L43"/>
    <mergeCell ref="M43:N43"/>
    <mergeCell ref="M42:N42"/>
    <mergeCell ref="A42:B42"/>
    <mergeCell ref="A43:B43"/>
    <mergeCell ref="A49:B52"/>
    <mergeCell ref="I49:J52"/>
    <mergeCell ref="K49:K50"/>
    <mergeCell ref="C49:E50"/>
    <mergeCell ref="C51:E51"/>
    <mergeCell ref="H49:H50"/>
    <mergeCell ref="C43:D43"/>
    <mergeCell ref="K51:K52"/>
    <mergeCell ref="F48:G48"/>
    <mergeCell ref="H51:H52"/>
    <mergeCell ref="A45:B45"/>
    <mergeCell ref="E54:E55"/>
    <mergeCell ref="A53:B53"/>
    <mergeCell ref="I53:J53"/>
    <mergeCell ref="A54:B55"/>
    <mergeCell ref="C54:C55"/>
    <mergeCell ref="D54:D55"/>
    <mergeCell ref="I54:J54"/>
    <mergeCell ref="K54:K55"/>
    <mergeCell ref="L54:L55"/>
    <mergeCell ref="N54:N55"/>
    <mergeCell ref="I55:J55"/>
    <mergeCell ref="M56:M57"/>
    <mergeCell ref="L62:N62"/>
    <mergeCell ref="L51:L52"/>
    <mergeCell ref="N51:N52"/>
    <mergeCell ref="F49:G50"/>
    <mergeCell ref="F53:G53"/>
    <mergeCell ref="F54:G55"/>
    <mergeCell ref="H54:H55"/>
    <mergeCell ref="F62:G62"/>
    <mergeCell ref="H62:I62"/>
    <mergeCell ref="I56:J56"/>
    <mergeCell ref="K56:K57"/>
    <mergeCell ref="L56:L57"/>
    <mergeCell ref="M54:M55"/>
    <mergeCell ref="F56:G57"/>
    <mergeCell ref="L49:L50"/>
    <mergeCell ref="M49:M52"/>
    <mergeCell ref="N49:N50"/>
    <mergeCell ref="F51:G51"/>
    <mergeCell ref="F52:G52"/>
    <mergeCell ref="E56:E57"/>
    <mergeCell ref="H56:H57"/>
    <mergeCell ref="A61:N61"/>
    <mergeCell ref="A62:C62"/>
    <mergeCell ref="D62:E62"/>
    <mergeCell ref="J62:K62"/>
    <mergeCell ref="N56:N57"/>
    <mergeCell ref="I57:J57"/>
    <mergeCell ref="A56:B57"/>
    <mergeCell ref="C56:C57"/>
    <mergeCell ref="D56:D57"/>
    <mergeCell ref="H68:I68"/>
    <mergeCell ref="J68:K68"/>
    <mergeCell ref="L68:N68"/>
    <mergeCell ref="H63:I65"/>
    <mergeCell ref="J63:K65"/>
    <mergeCell ref="L63:N65"/>
    <mergeCell ref="F66:G67"/>
    <mergeCell ref="H66:I67"/>
    <mergeCell ref="J66:K67"/>
    <mergeCell ref="L66:N67"/>
    <mergeCell ref="A63:C67"/>
    <mergeCell ref="D63:E65"/>
    <mergeCell ref="F63:G65"/>
    <mergeCell ref="A69:C69"/>
    <mergeCell ref="D69:E69"/>
    <mergeCell ref="F69:G69"/>
    <mergeCell ref="A68:C68"/>
    <mergeCell ref="D68:E68"/>
    <mergeCell ref="F68:G68"/>
    <mergeCell ref="D66:E67"/>
    <mergeCell ref="H69:I69"/>
    <mergeCell ref="J69:K69"/>
    <mergeCell ref="L69:N69"/>
    <mergeCell ref="A70:C70"/>
    <mergeCell ref="D70:E70"/>
    <mergeCell ref="F70:G70"/>
    <mergeCell ref="H70:I70"/>
    <mergeCell ref="J70:K70"/>
    <mergeCell ref="L70:N70"/>
    <mergeCell ref="A72:C72"/>
    <mergeCell ref="D72:E72"/>
    <mergeCell ref="F72:G72"/>
    <mergeCell ref="H72:I72"/>
    <mergeCell ref="J72:K72"/>
    <mergeCell ref="L72:N72"/>
    <mergeCell ref="A71:C71"/>
    <mergeCell ref="D71:E71"/>
    <mergeCell ref="F71:G71"/>
    <mergeCell ref="H71:I71"/>
    <mergeCell ref="J71:K71"/>
    <mergeCell ref="L71:N71"/>
    <mergeCell ref="A73:C73"/>
    <mergeCell ref="D73:E73"/>
    <mergeCell ref="F73:G73"/>
    <mergeCell ref="H73:I73"/>
    <mergeCell ref="J73:K73"/>
    <mergeCell ref="L73:N73"/>
    <mergeCell ref="A78:N78"/>
    <mergeCell ref="A79:B79"/>
    <mergeCell ref="C79:E79"/>
    <mergeCell ref="F79:G79"/>
    <mergeCell ref="I79:J79"/>
    <mergeCell ref="L80:L81"/>
    <mergeCell ref="M80:M83"/>
    <mergeCell ref="N80:N81"/>
    <mergeCell ref="K82:K83"/>
    <mergeCell ref="L82:L83"/>
    <mergeCell ref="N82:N83"/>
    <mergeCell ref="A74:C74"/>
    <mergeCell ref="D74:E74"/>
    <mergeCell ref="F74:G74"/>
    <mergeCell ref="H74:I74"/>
    <mergeCell ref="J74:K74"/>
    <mergeCell ref="L74:N74"/>
    <mergeCell ref="C80:E81"/>
    <mergeCell ref="F80:G81"/>
    <mergeCell ref="H80:H81"/>
    <mergeCell ref="I80:J83"/>
    <mergeCell ref="K80:K81"/>
    <mergeCell ref="C82:E83"/>
    <mergeCell ref="F82:G83"/>
    <mergeCell ref="E88:E89"/>
    <mergeCell ref="F88:G89"/>
    <mergeCell ref="A85:B85"/>
    <mergeCell ref="F85:G85"/>
    <mergeCell ref="I85:J85"/>
    <mergeCell ref="A86:B87"/>
    <mergeCell ref="C86:C87"/>
    <mergeCell ref="D86:D87"/>
    <mergeCell ref="E86:E87"/>
    <mergeCell ref="F86:G87"/>
    <mergeCell ref="H86:H87"/>
    <mergeCell ref="I86:J86"/>
    <mergeCell ref="A93:N93"/>
    <mergeCell ref="A94:C94"/>
    <mergeCell ref="D94:E94"/>
    <mergeCell ref="F94:G94"/>
    <mergeCell ref="H94:I94"/>
    <mergeCell ref="J94:K94"/>
    <mergeCell ref="L94:N94"/>
    <mergeCell ref="A80:B84"/>
    <mergeCell ref="H82:H84"/>
    <mergeCell ref="H88:H89"/>
    <mergeCell ref="I88:J88"/>
    <mergeCell ref="K88:K89"/>
    <mergeCell ref="L88:L89"/>
    <mergeCell ref="M88:M89"/>
    <mergeCell ref="N88:N89"/>
    <mergeCell ref="I89:J89"/>
    <mergeCell ref="K86:K87"/>
    <mergeCell ref="L86:L87"/>
    <mergeCell ref="M86:M87"/>
    <mergeCell ref="N86:N87"/>
    <mergeCell ref="I87:J87"/>
    <mergeCell ref="A88:B89"/>
    <mergeCell ref="C88:C89"/>
    <mergeCell ref="D88:D89"/>
    <mergeCell ref="H100:I100"/>
    <mergeCell ref="J100:K100"/>
    <mergeCell ref="L100:N100"/>
    <mergeCell ref="H95:I97"/>
    <mergeCell ref="J95:K97"/>
    <mergeCell ref="L95:N97"/>
    <mergeCell ref="F98:G99"/>
    <mergeCell ref="H98:I99"/>
    <mergeCell ref="J98:K99"/>
    <mergeCell ref="L98:N99"/>
    <mergeCell ref="A95:C99"/>
    <mergeCell ref="D95:E97"/>
    <mergeCell ref="F95:G97"/>
    <mergeCell ref="A101:C101"/>
    <mergeCell ref="D101:E101"/>
    <mergeCell ref="F101:G101"/>
    <mergeCell ref="A100:C100"/>
    <mergeCell ref="D100:E100"/>
    <mergeCell ref="F100:G100"/>
    <mergeCell ref="D98:E99"/>
    <mergeCell ref="A103:C103"/>
    <mergeCell ref="D103:E103"/>
    <mergeCell ref="F103:G103"/>
    <mergeCell ref="H103:I103"/>
    <mergeCell ref="J103:K103"/>
    <mergeCell ref="L103:N103"/>
    <mergeCell ref="H101:I101"/>
    <mergeCell ref="J101:K101"/>
    <mergeCell ref="L101:N101"/>
    <mergeCell ref="A102:C102"/>
    <mergeCell ref="D102:E102"/>
    <mergeCell ref="F102:G102"/>
    <mergeCell ref="H102:I102"/>
    <mergeCell ref="J102:K102"/>
    <mergeCell ref="L102:N102"/>
    <mergeCell ref="F104:G104"/>
    <mergeCell ref="H104:I104"/>
    <mergeCell ref="J104:K104"/>
    <mergeCell ref="L104:N104"/>
    <mergeCell ref="A107:C107"/>
    <mergeCell ref="D107:E107"/>
    <mergeCell ref="F107:G107"/>
    <mergeCell ref="H107:I107"/>
    <mergeCell ref="J107:K107"/>
    <mergeCell ref="L107:N107"/>
    <mergeCell ref="A106:C106"/>
    <mergeCell ref="D106:E106"/>
    <mergeCell ref="F106:G106"/>
    <mergeCell ref="H106:I106"/>
    <mergeCell ref="J106:K106"/>
    <mergeCell ref="L106:N106"/>
    <mergeCell ref="A105:C105"/>
    <mergeCell ref="D105:E105"/>
    <mergeCell ref="F105:G105"/>
    <mergeCell ref="H105:I105"/>
    <mergeCell ref="J105:K105"/>
    <mergeCell ref="L105:N105"/>
    <mergeCell ref="N133:N134"/>
    <mergeCell ref="I133:J134"/>
    <mergeCell ref="K133:L134"/>
    <mergeCell ref="K135:L136"/>
    <mergeCell ref="N135:N136"/>
    <mergeCell ref="H133:H135"/>
    <mergeCell ref="A142:L142"/>
    <mergeCell ref="A112:C112"/>
    <mergeCell ref="D112:E112"/>
    <mergeCell ref="F112:G112"/>
    <mergeCell ref="I112:J112"/>
    <mergeCell ref="K112:L112"/>
    <mergeCell ref="C132:G132"/>
    <mergeCell ref="C133:G134"/>
    <mergeCell ref="C135:G135"/>
    <mergeCell ref="A133:B136"/>
    <mergeCell ref="A137:B137"/>
    <mergeCell ref="I137:J137"/>
    <mergeCell ref="I138:J138"/>
    <mergeCell ref="K137:L137"/>
    <mergeCell ref="K138:L138"/>
    <mergeCell ref="A148:C148"/>
    <mergeCell ref="D148:E148"/>
    <mergeCell ref="F148:G148"/>
    <mergeCell ref="I148:J148"/>
    <mergeCell ref="K148:L148"/>
    <mergeCell ref="I132:J132"/>
    <mergeCell ref="I135:J136"/>
    <mergeCell ref="D144:E145"/>
    <mergeCell ref="F144:G145"/>
    <mergeCell ref="H144:H145"/>
    <mergeCell ref="I144:J145"/>
    <mergeCell ref="A143:C143"/>
    <mergeCell ref="D143:E143"/>
    <mergeCell ref="F143:G143"/>
    <mergeCell ref="I143:J143"/>
    <mergeCell ref="K144:L145"/>
    <mergeCell ref="A144:C147"/>
    <mergeCell ref="K143:L143"/>
    <mergeCell ref="D146:E147"/>
    <mergeCell ref="F146:G147"/>
    <mergeCell ref="H146:H147"/>
    <mergeCell ref="I146:J147"/>
    <mergeCell ref="K146:L147"/>
    <mergeCell ref="A138:B138"/>
    <mergeCell ref="E187:G187"/>
    <mergeCell ref="H187:K187"/>
    <mergeCell ref="A153:N153"/>
    <mergeCell ref="A154:E154"/>
    <mergeCell ref="F154:H154"/>
    <mergeCell ref="I154:K154"/>
    <mergeCell ref="L154:N154"/>
    <mergeCell ref="F155:H155"/>
    <mergeCell ref="I155:K155"/>
    <mergeCell ref="L155:N155"/>
    <mergeCell ref="E185:G185"/>
    <mergeCell ref="E186:G186"/>
    <mergeCell ref="H185:K185"/>
    <mergeCell ref="H186:K186"/>
    <mergeCell ref="A161:E161"/>
    <mergeCell ref="F161:H161"/>
    <mergeCell ref="I161:K161"/>
    <mergeCell ref="F164:H164"/>
    <mergeCell ref="I164:K164"/>
    <mergeCell ref="H181:K183"/>
    <mergeCell ref="H184:K184"/>
    <mergeCell ref="E181:G184"/>
    <mergeCell ref="A168:E168"/>
    <mergeCell ref="F167:H167"/>
    <mergeCell ref="I163:K163"/>
    <mergeCell ref="E179:K179"/>
    <mergeCell ref="E180:G180"/>
    <mergeCell ref="H180:K180"/>
    <mergeCell ref="A171:E171"/>
    <mergeCell ref="F175:H175"/>
    <mergeCell ref="I175:K175"/>
    <mergeCell ref="A170:E170"/>
    <mergeCell ref="F170:H170"/>
    <mergeCell ref="I170:K170"/>
    <mergeCell ref="A166:E166"/>
    <mergeCell ref="A169:E169"/>
    <mergeCell ref="A167:E167"/>
    <mergeCell ref="L175:N175"/>
    <mergeCell ref="A172:E172"/>
    <mergeCell ref="F172:H172"/>
    <mergeCell ref="I172:K172"/>
    <mergeCell ref="A174:E174"/>
    <mergeCell ref="F174:H174"/>
    <mergeCell ref="I174:K174"/>
    <mergeCell ref="I171:K171"/>
    <mergeCell ref="L171:N171"/>
    <mergeCell ref="A175:E175"/>
    <mergeCell ref="L174:N174"/>
    <mergeCell ref="I173:K173"/>
    <mergeCell ref="L173:N173"/>
    <mergeCell ref="A173:E173"/>
    <mergeCell ref="F173:H173"/>
    <mergeCell ref="L170:N170"/>
    <mergeCell ref="L164:N164"/>
    <mergeCell ref="F166:H166"/>
    <mergeCell ref="I166:K166"/>
    <mergeCell ref="L166:N166"/>
    <mergeCell ref="I169:K169"/>
    <mergeCell ref="L168:N168"/>
    <mergeCell ref="L169:N169"/>
    <mergeCell ref="L172:N172"/>
    <mergeCell ref="F168:H168"/>
    <mergeCell ref="F169:H169"/>
    <mergeCell ref="F171:H171"/>
    <mergeCell ref="L167:N167"/>
    <mergeCell ref="I168:K168"/>
    <mergeCell ref="A165:N165"/>
    <mergeCell ref="A164:E164"/>
    <mergeCell ref="I167:K167"/>
    <mergeCell ref="A131:N131"/>
    <mergeCell ref="A132:B132"/>
    <mergeCell ref="K132:L132"/>
    <mergeCell ref="M133:M136"/>
    <mergeCell ref="L163:N163"/>
    <mergeCell ref="A163:E163"/>
    <mergeCell ref="A162:E162"/>
    <mergeCell ref="F162:H162"/>
    <mergeCell ref="I162:K162"/>
    <mergeCell ref="L156:N156"/>
    <mergeCell ref="F157:H157"/>
    <mergeCell ref="L157:N157"/>
    <mergeCell ref="I157:K157"/>
    <mergeCell ref="F156:H156"/>
    <mergeCell ref="A149:C149"/>
    <mergeCell ref="D149:E149"/>
    <mergeCell ref="F149:G149"/>
    <mergeCell ref="I149:J149"/>
    <mergeCell ref="K149:L149"/>
    <mergeCell ref="A155:E157"/>
    <mergeCell ref="L161:N161"/>
    <mergeCell ref="L162:N162"/>
    <mergeCell ref="A158:N158"/>
    <mergeCell ref="F163:H163"/>
    <mergeCell ref="A159:E159"/>
    <mergeCell ref="F159:H159"/>
    <mergeCell ref="I159:K159"/>
    <mergeCell ref="L159:N159"/>
    <mergeCell ref="A160:E160"/>
    <mergeCell ref="F160:H160"/>
    <mergeCell ref="I160:K160"/>
    <mergeCell ref="L160:N160"/>
    <mergeCell ref="I156:K156"/>
    <mergeCell ref="B127:D127"/>
    <mergeCell ref="E127:G127"/>
    <mergeCell ref="H127:J127"/>
    <mergeCell ref="K127:M127"/>
    <mergeCell ref="K118:L118"/>
    <mergeCell ref="B122:M122"/>
    <mergeCell ref="B123:D123"/>
    <mergeCell ref="E123:G123"/>
    <mergeCell ref="H123:J123"/>
    <mergeCell ref="B125:D125"/>
    <mergeCell ref="E124:G124"/>
    <mergeCell ref="H124:J124"/>
    <mergeCell ref="E125:G125"/>
    <mergeCell ref="H125:J125"/>
    <mergeCell ref="K124:M125"/>
    <mergeCell ref="A118:C118"/>
    <mergeCell ref="D118:E118"/>
    <mergeCell ref="F118:G118"/>
    <mergeCell ref="I118:J118"/>
    <mergeCell ref="K123:M123"/>
    <mergeCell ref="B124:D124"/>
    <mergeCell ref="A111:L111"/>
    <mergeCell ref="A117:C117"/>
    <mergeCell ref="D117:E117"/>
    <mergeCell ref="F84:G84"/>
    <mergeCell ref="F117:G117"/>
    <mergeCell ref="I117:J117"/>
    <mergeCell ref="B126:D126"/>
    <mergeCell ref="E126:G126"/>
    <mergeCell ref="H126:J126"/>
    <mergeCell ref="K126:M126"/>
    <mergeCell ref="K117:L117"/>
    <mergeCell ref="K113:L114"/>
    <mergeCell ref="D115:E116"/>
    <mergeCell ref="F115:G116"/>
    <mergeCell ref="H115:H116"/>
    <mergeCell ref="I115:J116"/>
    <mergeCell ref="K115:L116"/>
    <mergeCell ref="A113:C116"/>
    <mergeCell ref="D113:E114"/>
    <mergeCell ref="F113:G114"/>
    <mergeCell ref="H113:H114"/>
    <mergeCell ref="I113:J114"/>
    <mergeCell ref="A104:C104"/>
    <mergeCell ref="D104:E104"/>
  </mergeCells>
  <conditionalFormatting sqref="A25:I26">
    <cfRule type="expression" dxfId="70" priority="9">
      <formula>$J$9="4SG"</formula>
    </cfRule>
    <cfRule type="expression" dxfId="69" priority="10">
      <formula>OR($J$9="3ST",$J$9="3SG",$J$9="4ST")</formula>
    </cfRule>
  </conditionalFormatting>
  <conditionalFormatting sqref="J16 A16:I18">
    <cfRule type="expression" dxfId="68" priority="13">
      <formula>OR($J$9="3SG",$J$9="4SG")</formula>
    </cfRule>
    <cfRule type="expression" dxfId="67" priority="14">
      <formula>OR($J$9="3ST",$J$9="4ST")</formula>
    </cfRule>
  </conditionalFormatting>
  <conditionalFormatting sqref="J19 A19:I24 A27:I33">
    <cfRule type="expression" dxfId="66" priority="11">
      <formula>OR($J$9="3SG",$J$9="4SG")</formula>
    </cfRule>
    <cfRule type="expression" dxfId="65" priority="12">
      <formula>OR($J$9="3ST",$J$9="4ST")</formula>
    </cfRule>
  </conditionalFormatting>
  <conditionalFormatting sqref="J10:N10">
    <cfRule type="cellIs" dxfId="64" priority="28" stopIfTrue="1" operator="greaterThan">
      <formula>$F$10</formula>
    </cfRule>
  </conditionalFormatting>
  <conditionalFormatting sqref="J11:N11">
    <cfRule type="cellIs" dxfId="63" priority="27" stopIfTrue="1" operator="greaterThan">
      <formula>$F$11</formula>
    </cfRule>
  </conditionalFormatting>
  <conditionalFormatting sqref="J17:N18">
    <cfRule type="expression" dxfId="62" priority="1">
      <formula>OR($J$9="3SG",$J$9="4SG")</formula>
    </cfRule>
    <cfRule type="expression" dxfId="61" priority="2">
      <formula>OR($J$9="3ST",$J$9="4ST")</formula>
    </cfRule>
  </conditionalFormatting>
  <conditionalFormatting sqref="J20:N24 J27:N28 J32:N32">
    <cfRule type="expression" dxfId="60" priority="5">
      <formula>OR($J$9="3SG",$J$9="4SG")</formula>
    </cfRule>
    <cfRule type="expression" dxfId="59" priority="6">
      <formula>OR($J$9="3ST",$J$9="4ST")</formula>
    </cfRule>
  </conditionalFormatting>
  <conditionalFormatting sqref="J25:N26">
    <cfRule type="expression" dxfId="58" priority="7">
      <formula>$J$9="4SG"</formula>
    </cfRule>
    <cfRule type="expression" dxfId="57" priority="8">
      <formula>OR($J$9="3ST",$J$9="3SG",$J$9="4ST")</formula>
    </cfRule>
  </conditionalFormatting>
  <conditionalFormatting sqref="J29:N31 J33:N33">
    <cfRule type="expression" dxfId="56" priority="3">
      <formula>OR($J$9="3SG",$J$9="4SG")</formula>
    </cfRule>
    <cfRule type="expression" dxfId="55" priority="4">
      <formula>OR($J$9="3ST",$J$9="4ST")</formula>
    </cfRule>
  </conditionalFormatting>
  <conditionalFormatting sqref="O10:O11">
    <cfRule type="expression" dxfId="54" priority="16">
      <formula>J10&gt;F10</formula>
    </cfRule>
  </conditionalFormatting>
  <dataValidations count="10">
    <dataValidation type="whole" operator="greaterThanOrEqual" allowBlank="1" showInputMessage="1" showErrorMessage="1" sqref="J33:N33 J30:N31 J10:N11" xr:uid="{00000000-0002-0000-0400-000000000000}">
      <formula1>0</formula1>
    </dataValidation>
    <dataValidation type="list" allowBlank="1" showInputMessage="1" showErrorMessage="1" sqref="J28:N28 J32:N32 J14:N14" xr:uid="{00000000-0002-0000-0400-000001000000}">
      <formula1>PresOrNot</formula1>
    </dataValidation>
    <dataValidation type="list" operator="greaterThanOrEqual" allowBlank="1" showInputMessage="1" showErrorMessage="1" sqref="J23:N26" xr:uid="{00000000-0002-0000-0400-000002000000}">
      <formula1>Phasing2</formula1>
    </dataValidation>
    <dataValidation type="whole" operator="greaterThan" allowBlank="1" showInputMessage="1" showErrorMessage="1" sqref="K7:N7" xr:uid="{00000000-0002-0000-0400-000004000000}">
      <formula1>1990</formula1>
    </dataValidation>
    <dataValidation type="list" operator="greaterThan" allowBlank="1" showInputMessage="1" showErrorMessage="1" sqref="J9:N9" xr:uid="{00000000-0002-0000-0400-000007000000}">
      <formula1>IType2</formula1>
    </dataValidation>
    <dataValidation type="list" operator="greaterThanOrEqual" allowBlank="1" showInputMessage="1" showErrorMessage="1" sqref="J17:N18" xr:uid="{00000000-0002-0000-0400-000008000000}">
      <formula1>UnsigApproach1</formula1>
    </dataValidation>
    <dataValidation type="whole" allowBlank="1" showErrorMessage="1" promptTitle="Warning" prompt="The signalized intersection SPFs assume that there are some pedestrians present (value &gt; 0), so this input value should be a whole number of 1 or greater.  This field is not used for unsignalized intersections." sqref="J29:N29" xr:uid="{00000000-0002-0000-0400-000009000000}">
      <formula1>1</formula1>
      <formula2>34200</formula2>
    </dataValidation>
    <dataValidation type="list" allowBlank="1" showInputMessage="1" showErrorMessage="1" sqref="J12:N12" xr:uid="{00000000-0002-0000-0400-00000A000000}">
      <formula1>District</formula1>
    </dataValidation>
    <dataValidation type="list" allowBlank="1" showInputMessage="1" showErrorMessage="1" sqref="J13:N13" xr:uid="{00000000-0002-0000-0400-00000B000000}">
      <formula1>RType</formula1>
    </dataValidation>
    <dataValidation type="list" operator="greaterThanOrEqual" allowBlank="1" showInputMessage="1" showErrorMessage="1" sqref="J20:N22 J27:N27" xr:uid="{7617CF51-5C9A-4C28-B616-FD943D52E523}">
      <formula1>IntApproach1</formula1>
    </dataValidation>
  </dataValidations>
  <hyperlinks>
    <hyperlink ref="D10:D11" r:id="rId1" display="Map" xr:uid="{92DC8FFC-7F8B-4D38-AFA5-1F6E8DB14CC5}"/>
  </hyperlinks>
  <pageMargins left="0.88" right="0.28999999999999998" top="0.79" bottom="0.75" header="0.3" footer="0.3"/>
  <pageSetup scale="77" fitToHeight="4" orientation="landscape" r:id="rId2"/>
  <headerFooter>
    <oddHeader>&amp;CUrban and Suburban Arterial Predictive Method</oddHeader>
    <oddFooter>&amp;R&amp;P</oddFooter>
  </headerFooter>
  <rowBreaks count="3" manualBreakCount="3">
    <brk id="44" max="13" man="1"/>
    <brk id="91" max="13" man="1"/>
    <brk id="140" max="13" man="1"/>
  </row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87"/>
  <sheetViews>
    <sheetView zoomScaleNormal="100" workbookViewId="0">
      <selection activeCell="E4" sqref="E4:G4"/>
    </sheetView>
  </sheetViews>
  <sheetFormatPr defaultRowHeight="13.2"/>
  <cols>
    <col min="1" max="7" width="11.6640625" customWidth="1"/>
    <col min="8" max="8" width="15.6640625" customWidth="1"/>
    <col min="9" max="10" width="10.6640625" customWidth="1"/>
    <col min="11" max="11" width="11.6640625" customWidth="1"/>
    <col min="12" max="12" width="13.44140625" customWidth="1"/>
    <col min="13" max="13" width="12.33203125" customWidth="1"/>
    <col min="14" max="14" width="10.6640625" customWidth="1"/>
    <col min="16" max="16" width="62.44140625" customWidth="1"/>
    <col min="19" max="19" width="16.6640625" customWidth="1"/>
    <col min="20" max="22" width="13.6640625" customWidth="1"/>
  </cols>
  <sheetData>
    <row r="1" spans="1:20" ht="13.8" thickBot="1">
      <c r="A1" s="20"/>
      <c r="B1" s="20"/>
    </row>
    <row r="2" spans="1:20" ht="14.25" customHeight="1" thickTop="1" thickBot="1">
      <c r="A2" s="302" t="s">
        <v>353</v>
      </c>
      <c r="B2" s="358"/>
      <c r="C2" s="358"/>
      <c r="D2" s="358"/>
      <c r="E2" s="405"/>
      <c r="F2" s="405"/>
      <c r="G2" s="405"/>
      <c r="H2" s="405"/>
      <c r="I2" s="405"/>
      <c r="J2" s="405"/>
      <c r="K2" s="405"/>
      <c r="L2" s="405"/>
      <c r="M2" s="405"/>
      <c r="N2" s="405"/>
    </row>
    <row r="3" spans="1:20" ht="15.6">
      <c r="A3" s="282" t="s">
        <v>0</v>
      </c>
      <c r="B3" s="442"/>
      <c r="C3" s="442"/>
      <c r="D3" s="442"/>
      <c r="E3" s="442"/>
      <c r="F3" s="442"/>
      <c r="G3" s="455"/>
      <c r="H3" s="456" t="s">
        <v>7</v>
      </c>
      <c r="I3" s="457"/>
      <c r="J3" s="457"/>
      <c r="K3" s="457"/>
      <c r="L3" s="457"/>
      <c r="M3" s="457"/>
      <c r="N3" s="457"/>
      <c r="S3" s="80" t="s">
        <v>486</v>
      </c>
    </row>
    <row r="4" spans="1:20" ht="13.5" customHeight="1">
      <c r="A4" s="462" t="s">
        <v>1</v>
      </c>
      <c r="B4" s="462"/>
      <c r="C4" s="462"/>
      <c r="D4" s="18"/>
      <c r="E4" s="463" t="s">
        <v>647</v>
      </c>
      <c r="F4" s="464"/>
      <c r="G4" s="465"/>
      <c r="H4" s="466" t="s">
        <v>8</v>
      </c>
      <c r="I4" s="462"/>
      <c r="J4" s="467"/>
      <c r="K4" s="463" t="s">
        <v>162</v>
      </c>
      <c r="L4" s="464"/>
      <c r="M4" s="464"/>
      <c r="N4" s="464"/>
    </row>
    <row r="5" spans="1:20" ht="12.75" customHeight="1">
      <c r="A5" s="442" t="s">
        <v>2</v>
      </c>
      <c r="B5" s="442"/>
      <c r="C5" s="442"/>
      <c r="D5" s="14"/>
      <c r="E5" s="458" t="s">
        <v>648</v>
      </c>
      <c r="F5" s="459"/>
      <c r="G5" s="460"/>
      <c r="H5" s="461" t="s">
        <v>70</v>
      </c>
      <c r="I5" s="442"/>
      <c r="J5" s="455"/>
      <c r="K5" s="458" t="s">
        <v>617</v>
      </c>
      <c r="L5" s="459"/>
      <c r="M5" s="459"/>
      <c r="N5" s="459"/>
      <c r="S5" s="20" t="s">
        <v>487</v>
      </c>
      <c r="T5" s="22">
        <f>IF($J$22&gt;0,IF($J$9="3ST",1,IF($J$9="4ST",1,IF($J$23="Permissive",1,IF($J$23="Protected",0.94,0.99)))),1)</f>
        <v>0.99</v>
      </c>
    </row>
    <row r="6" spans="1:20" ht="14.25" customHeight="1">
      <c r="A6" s="442" t="s">
        <v>3</v>
      </c>
      <c r="B6" s="442"/>
      <c r="C6" s="442"/>
      <c r="D6" s="14"/>
      <c r="E6" s="468">
        <f ca="1">TODAY()</f>
        <v>45350</v>
      </c>
      <c r="F6" s="469"/>
      <c r="G6" s="470"/>
      <c r="H6" s="461" t="s">
        <v>10</v>
      </c>
      <c r="I6" s="442"/>
      <c r="J6" s="455"/>
      <c r="K6" s="458" t="s">
        <v>164</v>
      </c>
      <c r="L6" s="459"/>
      <c r="M6" s="459"/>
      <c r="N6" s="459"/>
      <c r="S6" s="20" t="s">
        <v>488</v>
      </c>
      <c r="T6" s="22">
        <f>IF($J$22&gt;1,IF($J$9="3ST",1,IF($J$9="4ST",1,IF($J$24="Permissive",1,IF($J$24="Protected",0.94,0.99)))),1)</f>
        <v>0.99</v>
      </c>
    </row>
    <row r="7" spans="1:20">
      <c r="A7" s="473"/>
      <c r="B7" s="473"/>
      <c r="C7" s="473"/>
      <c r="D7" s="19"/>
      <c r="E7" s="461"/>
      <c r="F7" s="442"/>
      <c r="G7" s="455"/>
      <c r="H7" s="461" t="s">
        <v>11</v>
      </c>
      <c r="I7" s="442"/>
      <c r="J7" s="455"/>
      <c r="K7" s="474">
        <v>2010</v>
      </c>
      <c r="L7" s="475"/>
      <c r="M7" s="475"/>
      <c r="N7" s="475"/>
      <c r="S7" s="20" t="s">
        <v>489</v>
      </c>
      <c r="T7" s="22">
        <f>IF($J$22&gt;2,IF($J$9="3ST",1,IF($J$9="4ST",1,IF($J$25="Permissive",1,IF($J$25="Protected",0.94,0.99)))),1)</f>
        <v>1</v>
      </c>
    </row>
    <row r="8" spans="1:20">
      <c r="A8" s="471" t="s">
        <v>4</v>
      </c>
      <c r="B8" s="449"/>
      <c r="C8" s="449"/>
      <c r="D8" s="449"/>
      <c r="E8" s="449"/>
      <c r="F8" s="449"/>
      <c r="G8" s="336"/>
      <c r="H8" s="472" t="s">
        <v>12</v>
      </c>
      <c r="I8" s="336"/>
      <c r="J8" s="472" t="s">
        <v>14</v>
      </c>
      <c r="K8" s="449"/>
      <c r="L8" s="449"/>
      <c r="M8" s="449"/>
      <c r="N8" s="449"/>
      <c r="S8" s="20" t="s">
        <v>490</v>
      </c>
      <c r="T8" s="22">
        <f>IF($J$9="3SG",1,IF($J$9="3ST",1,IF($J$9="4ST",1,IF($J$26="Permissive",1,IF($J$26="Protected",0.94,0.99)))))</f>
        <v>1</v>
      </c>
    </row>
    <row r="9" spans="1:20" ht="13.8" thickBot="1">
      <c r="A9" s="448" t="s">
        <v>354</v>
      </c>
      <c r="B9" s="449"/>
      <c r="C9" s="449"/>
      <c r="D9" s="449"/>
      <c r="E9" s="449"/>
      <c r="F9" s="449"/>
      <c r="G9" s="336"/>
      <c r="H9" s="478" t="s">
        <v>13</v>
      </c>
      <c r="I9" s="467"/>
      <c r="J9" s="798" t="s">
        <v>449</v>
      </c>
      <c r="K9" s="480"/>
      <c r="L9" s="480"/>
      <c r="M9" s="480"/>
      <c r="N9" s="480"/>
      <c r="O9" s="276" t="str">
        <f>IF($J$9="3ST","Unsignalized three-leg intersection (stop control on minor-road approaches)",IF($J$9="3SG","Signalized three-leg intersection",IF($J$9="4ST","Unsignalized four-leg intersection (stop control on minor-road approaches)","Signalized four-leg intersection")))</f>
        <v>Signalized three-leg intersection</v>
      </c>
      <c r="S9" s="20" t="s">
        <v>491</v>
      </c>
      <c r="T9" s="11">
        <f>T5*T6*T7*T8</f>
        <v>0.98009999999999997</v>
      </c>
    </row>
    <row r="10" spans="1:20" ht="16.2" thickBot="1">
      <c r="A10" s="448" t="s">
        <v>355</v>
      </c>
      <c r="B10" s="448"/>
      <c r="C10" s="448"/>
      <c r="D10" s="801" t="s">
        <v>761</v>
      </c>
      <c r="E10" s="144" t="s">
        <v>625</v>
      </c>
      <c r="F10" s="146">
        <f>IF($J$9="3ST",45700,IF($J$9="4ST",46800,IF($J$9="3SG",58100,67700)))</f>
        <v>58100</v>
      </c>
      <c r="G10" s="145" t="s">
        <v>763</v>
      </c>
      <c r="H10" s="454" t="s">
        <v>13</v>
      </c>
      <c r="I10" s="336"/>
      <c r="J10" s="482">
        <v>15000</v>
      </c>
      <c r="K10" s="808"/>
      <c r="L10" s="808"/>
      <c r="M10" s="808"/>
      <c r="N10" s="808"/>
      <c r="O10" s="104" t="str">
        <f>IF(J10&gt;F10,"AADT out of range","AADT OK")</f>
        <v>AADT OK</v>
      </c>
    </row>
    <row r="11" spans="1:20" ht="16.2" thickBot="1">
      <c r="A11" s="448" t="s">
        <v>356</v>
      </c>
      <c r="B11" s="448"/>
      <c r="C11" s="448"/>
      <c r="D11" s="802"/>
      <c r="E11" s="144" t="s">
        <v>625</v>
      </c>
      <c r="F11" s="146">
        <f>IF($J$9="3ST",9300,IF($J$9="4ST",5900,IF($J$9="3SG",16400,33400)))</f>
        <v>16400</v>
      </c>
      <c r="G11" s="145" t="s">
        <v>763</v>
      </c>
      <c r="H11" s="454" t="s">
        <v>13</v>
      </c>
      <c r="I11" s="336"/>
      <c r="J11" s="482">
        <v>9000</v>
      </c>
      <c r="K11" s="808"/>
      <c r="L11" s="808"/>
      <c r="M11" s="808"/>
      <c r="N11" s="808"/>
      <c r="O11" s="104" t="str">
        <f>IF(J11&gt;F11,"AADT out of range","AADT OK")</f>
        <v>AADT OK</v>
      </c>
    </row>
    <row r="12" spans="1:20">
      <c r="A12" s="487" t="s">
        <v>743</v>
      </c>
      <c r="B12" s="487"/>
      <c r="C12" s="487"/>
      <c r="D12" s="487"/>
      <c r="E12" s="487"/>
      <c r="F12" s="487"/>
      <c r="G12" s="803"/>
      <c r="H12" s="454" t="s">
        <v>13</v>
      </c>
      <c r="I12" s="336"/>
      <c r="J12" s="486" t="s">
        <v>642</v>
      </c>
      <c r="K12" s="486"/>
      <c r="L12" s="486"/>
      <c r="M12" s="486"/>
      <c r="N12" s="486"/>
      <c r="O12" s="104"/>
    </row>
    <row r="13" spans="1:20">
      <c r="A13" s="487" t="s">
        <v>650</v>
      </c>
      <c r="B13" s="487"/>
      <c r="C13" s="487"/>
      <c r="D13" s="487"/>
      <c r="E13" s="487"/>
      <c r="F13" s="487"/>
      <c r="G13" s="803"/>
      <c r="H13" s="454" t="s">
        <v>13</v>
      </c>
      <c r="I13" s="336"/>
      <c r="J13" s="486" t="s">
        <v>195</v>
      </c>
      <c r="K13" s="486"/>
      <c r="L13" s="486"/>
      <c r="M13" s="486"/>
      <c r="N13" s="486"/>
      <c r="O13" s="276" t="str">
        <f>IF($J$13="2U","Two-lane undivided arterials",IF($J$13="3T","Three-lane arterials including a center two-way left-turn lane (TWLTL)", IF($J$13="4U","Four-lane undivided arterials", IF($J$13="4D", "Four-lane divided arterials (i.e., including a raised or depressed median)","Five-lane arterials including a center two-way left-turn lane (TWLTL)"))))</f>
        <v>Five-lane arterials including a center two-way left-turn lane (TWLTL)</v>
      </c>
    </row>
    <row r="14" spans="1:20">
      <c r="A14" s="448" t="s">
        <v>71</v>
      </c>
      <c r="B14" s="449"/>
      <c r="C14" s="449"/>
      <c r="D14" s="449"/>
      <c r="E14" s="449"/>
      <c r="F14" s="449"/>
      <c r="G14" s="336"/>
      <c r="H14" s="438" t="s">
        <v>57</v>
      </c>
      <c r="I14" s="336"/>
      <c r="J14" s="486" t="s">
        <v>58</v>
      </c>
      <c r="K14" s="486"/>
      <c r="L14" s="486"/>
      <c r="M14" s="486"/>
      <c r="N14" s="486"/>
    </row>
    <row r="15" spans="1:20" ht="15.6">
      <c r="A15" s="448" t="s">
        <v>744</v>
      </c>
      <c r="B15" s="449"/>
      <c r="C15" s="449"/>
      <c r="D15" s="449"/>
      <c r="E15" s="449"/>
      <c r="F15" s="449"/>
      <c r="G15" s="336"/>
      <c r="H15" s="804">
        <v>1</v>
      </c>
      <c r="I15" s="805"/>
      <c r="J15" s="806">
        <v>1</v>
      </c>
      <c r="K15" s="807"/>
      <c r="L15" s="807"/>
      <c r="M15" s="807"/>
      <c r="N15" s="807"/>
      <c r="S15" s="80" t="s">
        <v>492</v>
      </c>
    </row>
    <row r="16" spans="1:20">
      <c r="A16" s="448" t="s">
        <v>357</v>
      </c>
      <c r="B16" s="449"/>
      <c r="C16" s="449"/>
      <c r="D16" s="449"/>
      <c r="E16" s="449"/>
      <c r="F16" s="449"/>
      <c r="G16" s="336"/>
      <c r="H16" s="454" t="s">
        <v>13</v>
      </c>
      <c r="I16" s="336"/>
      <c r="J16" s="537" t="s">
        <v>13</v>
      </c>
      <c r="K16" s="449"/>
      <c r="L16" s="449"/>
      <c r="M16" s="449"/>
      <c r="N16" s="449"/>
    </row>
    <row r="17" spans="1:22" ht="15.6">
      <c r="A17" s="793" t="str">
        <f>"Number of major-road approaches with left-turn lanes (0,1"&amp;IF(LEFT($J$9,1)="4",",2)",")")</f>
        <v>Number of major-road approaches with left-turn lanes (0,1)</v>
      </c>
      <c r="B17" s="794"/>
      <c r="C17" s="794"/>
      <c r="D17" s="794"/>
      <c r="E17" s="794"/>
      <c r="F17" s="794"/>
      <c r="G17" s="795"/>
      <c r="H17" s="454">
        <v>0</v>
      </c>
      <c r="I17" s="336"/>
      <c r="J17" s="485">
        <v>0</v>
      </c>
      <c r="K17" s="796"/>
      <c r="L17" s="796"/>
      <c r="M17" s="796"/>
      <c r="N17" s="796"/>
      <c r="S17" s="96" t="s">
        <v>493</v>
      </c>
      <c r="T17" s="24">
        <f>IF('Intersection Tables'!$C$41="No",(IF($J$9="3ST",'Intersection Tables'!$D$46,IF($J$9="3SG",'Intersection Tables'!$F$46,IF($J$9="4ST",'Intersection Tables'!$H$46,'Intersection Tables'!$J$46)))),(IF($J$9="3ST",'Intersection Tables'!$D$54,IF($J$9="3SG",'Intersection Tables'!$F$54,IF($J$9="4ST",'Intersection Tables'!$H$54,'Intersection Tables'!$J$54)))))</f>
        <v>0.22800000000000001</v>
      </c>
      <c r="U17" s="96" t="s">
        <v>499</v>
      </c>
      <c r="V17" s="24">
        <f>IF('Intersection Tables'!$C$41="No",(IF($J$9="3ST",'Intersection Tables'!$D$44,IF($J$9="3SG",'Intersection Tables'!$F$44,IF($J$9="4ST",'Intersection Tables'!$H$44,'Intersection Tables'!$J$44)))),(IF($J$9="3ST",'Intersection Tables'!$D$52,IF($J$9="3SG",'Intersection Tables'!$F$52,IF($J$9="4ST",'Intersection Tables'!$H$52,'Intersection Tables'!$J$52)))))</f>
        <v>6.9000000000000006E-2</v>
      </c>
    </row>
    <row r="18" spans="1:22" ht="15.6">
      <c r="A18" s="793" t="str">
        <f>"Number of major-road approaches with right-turn lanes (0,1"&amp;IF(LEFT($J$9,1)="4",",2)",")")</f>
        <v>Number of major-road approaches with right-turn lanes (0,1)</v>
      </c>
      <c r="B18" s="794"/>
      <c r="C18" s="794"/>
      <c r="D18" s="794"/>
      <c r="E18" s="794"/>
      <c r="F18" s="794"/>
      <c r="G18" s="795"/>
      <c r="H18" s="454">
        <v>0</v>
      </c>
      <c r="I18" s="336"/>
      <c r="J18" s="485">
        <v>0</v>
      </c>
      <c r="K18" s="796"/>
      <c r="L18" s="796"/>
      <c r="M18" s="796"/>
      <c r="N18" s="796"/>
      <c r="S18" s="96" t="s">
        <v>494</v>
      </c>
      <c r="T18" s="24">
        <f>IF('Intersection Tables'!$C$41="No",(IF($J$9="3ST",'Intersection Tables'!$E$46,IF($J$9="3SG",'Intersection Tables'!$G$46,IF($J$9="4ST",'Intersection Tables'!$I$46,'Intersection Tables'!$K$46)))),(IF($J$9="3ST",'Intersection Tables'!$E$54,IF($J$9="3SG",'Intersection Tables'!$G$54,IF($J$9="4ST",'Intersection Tables'!$I$54,'Intersection Tables'!$K$54)))))</f>
        <v>0.22600000000000001</v>
      </c>
      <c r="U18" s="96" t="s">
        <v>500</v>
      </c>
      <c r="V18" s="24">
        <f>IF('Intersection Tables'!$C$41="No",(IF($J$9="3ST",'Intersection Tables'!$E$44,IF($J$9="3SG",'Intersection Tables'!$G$44,IF($J$9="4ST",'Intersection Tables'!$I$44,'Intersection Tables'!$K$44)))),(IF($J$9="3ST",'Intersection Tables'!$E$52,IF($J$9="3SG",'Intersection Tables'!$G$52,IF($J$9="4ST",'Intersection Tables'!$I$52,'Intersection Tables'!$K$52)))))</f>
        <v>7.6999999999999999E-2</v>
      </c>
    </row>
    <row r="19" spans="1:22" ht="15.6">
      <c r="A19" s="448" t="s">
        <v>479</v>
      </c>
      <c r="B19" s="449"/>
      <c r="C19" s="449"/>
      <c r="D19" s="449"/>
      <c r="E19" s="449"/>
      <c r="F19" s="449"/>
      <c r="G19" s="336"/>
      <c r="H19" s="454" t="s">
        <v>13</v>
      </c>
      <c r="I19" s="336"/>
      <c r="J19" s="537" t="s">
        <v>13</v>
      </c>
      <c r="K19" s="449"/>
      <c r="L19" s="449"/>
      <c r="M19" s="449"/>
      <c r="N19" s="449"/>
      <c r="S19" s="96" t="s">
        <v>495</v>
      </c>
      <c r="T19" s="24">
        <f>+$K$54</f>
        <v>0.7075779723362271</v>
      </c>
      <c r="U19" s="96" t="s">
        <v>495</v>
      </c>
      <c r="V19" s="24">
        <f>+$K$54</f>
        <v>0.7075779723362271</v>
      </c>
    </row>
    <row r="20" spans="1:22" ht="15.6">
      <c r="A20" s="793" t="str">
        <f>"Number of approaches with left-turn lanes (0,1,2"&amp;IF(LEFT($J$9,1)="4",",3,4)",")")</f>
        <v>Number of approaches with left-turn lanes (0,1,2)</v>
      </c>
      <c r="B20" s="794"/>
      <c r="C20" s="794"/>
      <c r="D20" s="794"/>
      <c r="E20" s="794"/>
      <c r="F20" s="794"/>
      <c r="G20" s="795"/>
      <c r="H20" s="454">
        <v>0</v>
      </c>
      <c r="I20" s="336"/>
      <c r="J20" s="485">
        <v>2</v>
      </c>
      <c r="K20" s="796"/>
      <c r="L20" s="796"/>
      <c r="M20" s="796"/>
      <c r="N20" s="796"/>
      <c r="S20" s="96" t="s">
        <v>496</v>
      </c>
      <c r="T20" s="24">
        <f>+$K$56</f>
        <v>1.3983088500930201</v>
      </c>
      <c r="U20" s="96" t="s">
        <v>496</v>
      </c>
      <c r="V20" s="24">
        <f>+$K$56</f>
        <v>1.3983088500930201</v>
      </c>
    </row>
    <row r="21" spans="1:22" ht="15.6">
      <c r="A21" s="793" t="str">
        <f>"Number of approaches with right-turn lanes (0,1,2"&amp;IF(LEFT($J$9,1)="4",",3,4)",")")</f>
        <v>Number of approaches with right-turn lanes (0,1,2)</v>
      </c>
      <c r="B21" s="794"/>
      <c r="C21" s="794"/>
      <c r="D21" s="794"/>
      <c r="E21" s="794"/>
      <c r="F21" s="794"/>
      <c r="G21" s="795"/>
      <c r="H21" s="454">
        <v>0</v>
      </c>
      <c r="I21" s="336"/>
      <c r="J21" s="485">
        <v>2</v>
      </c>
      <c r="K21" s="796"/>
      <c r="L21" s="796"/>
      <c r="M21" s="796"/>
      <c r="N21" s="796"/>
      <c r="S21" s="96" t="s">
        <v>497</v>
      </c>
      <c r="T21" s="24">
        <f>+$H$85</f>
        <v>0.14071522142613146</v>
      </c>
      <c r="U21" s="96" t="s">
        <v>497</v>
      </c>
      <c r="V21" s="24">
        <f>+$H$85</f>
        <v>0.14071522142613146</v>
      </c>
    </row>
    <row r="22" spans="1:22" ht="15.6">
      <c r="A22" s="793" t="str">
        <f>"Number of approaches with left-turn signal phasing (0,1,2"&amp;IF(LEFT($J$9,1)="4",",3,4)",")")</f>
        <v>Number of approaches with left-turn signal phasing (0,1,2)</v>
      </c>
      <c r="B22" s="794"/>
      <c r="C22" s="794"/>
      <c r="D22" s="794"/>
      <c r="E22" s="794"/>
      <c r="F22" s="794"/>
      <c r="G22" s="795"/>
      <c r="H22" s="454" t="s">
        <v>13</v>
      </c>
      <c r="I22" s="336"/>
      <c r="J22" s="485">
        <v>2</v>
      </c>
      <c r="K22" s="796"/>
      <c r="L22" s="796"/>
      <c r="M22" s="796"/>
      <c r="N22" s="796"/>
      <c r="S22" s="96" t="s">
        <v>498</v>
      </c>
      <c r="T22" s="24">
        <f>((+T17*T19)+(+T18*T20))/(+T19+T20+T21)</f>
        <v>0.21247446966375622</v>
      </c>
      <c r="U22" s="96" t="s">
        <v>501</v>
      </c>
      <c r="V22" s="24">
        <f>((+V17*V19)+(+V18*V20))/(+V19+V20+V21)</f>
        <v>6.9657490954564527E-2</v>
      </c>
    </row>
    <row r="23" spans="1:22">
      <c r="A23" s="793" t="s">
        <v>484</v>
      </c>
      <c r="B23" s="794"/>
      <c r="C23" s="794"/>
      <c r="D23" s="794"/>
      <c r="E23" s="794"/>
      <c r="F23" s="794"/>
      <c r="G23" s="795"/>
      <c r="H23" s="438" t="s">
        <v>363</v>
      </c>
      <c r="I23" s="336"/>
      <c r="J23" s="485" t="s">
        <v>477</v>
      </c>
      <c r="K23" s="796"/>
      <c r="L23" s="796"/>
      <c r="M23" s="796"/>
      <c r="N23" s="796"/>
    </row>
    <row r="24" spans="1:22" ht="15.6">
      <c r="A24" s="793" t="s">
        <v>485</v>
      </c>
      <c r="B24" s="794"/>
      <c r="C24" s="794"/>
      <c r="D24" s="794"/>
      <c r="E24" s="794"/>
      <c r="F24" s="794"/>
      <c r="G24" s="795"/>
      <c r="H24" s="454" t="s">
        <v>13</v>
      </c>
      <c r="I24" s="336"/>
      <c r="J24" s="485" t="s">
        <v>477</v>
      </c>
      <c r="K24" s="796"/>
      <c r="L24" s="796"/>
      <c r="M24" s="796"/>
      <c r="N24" s="796"/>
      <c r="S24" s="96" t="s">
        <v>502</v>
      </c>
      <c r="T24" s="11">
        <f>1-(T22*(1-0.74))-(V22*(1-1.18))</f>
        <v>0.95729498625924503</v>
      </c>
    </row>
    <row r="25" spans="1:22">
      <c r="A25" s="793" t="s">
        <v>803</v>
      </c>
      <c r="B25" s="793"/>
      <c r="C25" s="793"/>
      <c r="D25" s="793"/>
      <c r="E25" s="793"/>
      <c r="F25" s="793"/>
      <c r="G25" s="797"/>
      <c r="H25" s="454" t="s">
        <v>13</v>
      </c>
      <c r="I25" s="336"/>
      <c r="J25" s="485" t="s">
        <v>482</v>
      </c>
      <c r="K25" s="796"/>
      <c r="L25" s="796"/>
      <c r="M25" s="796"/>
      <c r="N25" s="796"/>
    </row>
    <row r="26" spans="1:22">
      <c r="A26" s="793" t="s">
        <v>483</v>
      </c>
      <c r="B26" s="794"/>
      <c r="C26" s="794"/>
      <c r="D26" s="794"/>
      <c r="E26" s="794"/>
      <c r="F26" s="794"/>
      <c r="G26" s="795"/>
      <c r="H26" s="454" t="s">
        <v>13</v>
      </c>
      <c r="I26" s="336"/>
      <c r="J26" s="485" t="s">
        <v>482</v>
      </c>
      <c r="K26" s="796"/>
      <c r="L26" s="796"/>
      <c r="M26" s="796"/>
      <c r="N26" s="796"/>
    </row>
    <row r="27" spans="1:22">
      <c r="A27" s="793" t="str">
        <f>"Number of approaches with right-turn-on-red prohibited (0,1,2"&amp;IF(LEFT($J$9,1)="4",",3,4)",")")</f>
        <v>Number of approaches with right-turn-on-red prohibited (0,1,2)</v>
      </c>
      <c r="B27" s="794"/>
      <c r="C27" s="794"/>
      <c r="D27" s="794"/>
      <c r="E27" s="794"/>
      <c r="F27" s="794"/>
      <c r="G27" s="795"/>
      <c r="H27" s="454">
        <v>0</v>
      </c>
      <c r="I27" s="336"/>
      <c r="J27" s="485">
        <v>0</v>
      </c>
      <c r="K27" s="796"/>
      <c r="L27" s="796"/>
      <c r="M27" s="796"/>
      <c r="N27" s="796"/>
    </row>
    <row r="28" spans="1:22">
      <c r="A28" s="793" t="s">
        <v>362</v>
      </c>
      <c r="B28" s="794"/>
      <c r="C28" s="794"/>
      <c r="D28" s="794"/>
      <c r="E28" s="794"/>
      <c r="F28" s="794"/>
      <c r="G28" s="795"/>
      <c r="H28" s="438" t="s">
        <v>57</v>
      </c>
      <c r="I28" s="336"/>
      <c r="J28" s="486" t="s">
        <v>57</v>
      </c>
      <c r="K28" s="486"/>
      <c r="L28" s="486"/>
      <c r="M28" s="486"/>
      <c r="N28" s="486"/>
    </row>
    <row r="29" spans="1:22">
      <c r="A29" s="793" t="s">
        <v>762</v>
      </c>
      <c r="B29" s="794"/>
      <c r="C29" s="794"/>
      <c r="D29" s="794"/>
      <c r="E29" s="794"/>
      <c r="F29" s="794"/>
      <c r="G29" s="795"/>
      <c r="H29" s="454"/>
      <c r="I29" s="336"/>
      <c r="J29" s="482">
        <v>1500</v>
      </c>
      <c r="K29" s="483"/>
      <c r="L29" s="483"/>
      <c r="M29" s="483"/>
      <c r="N29" s="483"/>
    </row>
    <row r="30" spans="1:22" ht="15.6">
      <c r="A30" s="793" t="s">
        <v>361</v>
      </c>
      <c r="B30" s="794"/>
      <c r="C30" s="794"/>
      <c r="D30" s="794"/>
      <c r="E30" s="794"/>
      <c r="F30" s="794"/>
      <c r="G30" s="795"/>
      <c r="H30" s="454" t="s">
        <v>13</v>
      </c>
      <c r="I30" s="336"/>
      <c r="J30" s="433">
        <v>4</v>
      </c>
      <c r="K30" s="453"/>
      <c r="L30" s="453"/>
      <c r="M30" s="453"/>
      <c r="N30" s="453"/>
    </row>
    <row r="31" spans="1:22">
      <c r="A31" s="793" t="s">
        <v>360</v>
      </c>
      <c r="B31" s="794"/>
      <c r="C31" s="794"/>
      <c r="D31" s="794"/>
      <c r="E31" s="794"/>
      <c r="F31" s="794"/>
      <c r="G31" s="795"/>
      <c r="H31" s="438">
        <v>0</v>
      </c>
      <c r="I31" s="286"/>
      <c r="J31" s="433">
        <v>2</v>
      </c>
      <c r="K31" s="434"/>
      <c r="L31" s="434"/>
      <c r="M31" s="434"/>
      <c r="N31" s="434"/>
    </row>
    <row r="32" spans="1:22">
      <c r="A32" s="793" t="s">
        <v>359</v>
      </c>
      <c r="B32" s="794"/>
      <c r="C32" s="794"/>
      <c r="D32" s="794"/>
      <c r="E32" s="794"/>
      <c r="F32" s="794"/>
      <c r="G32" s="795"/>
      <c r="H32" s="438" t="s">
        <v>57</v>
      </c>
      <c r="I32" s="286"/>
      <c r="J32" s="486" t="s">
        <v>58</v>
      </c>
      <c r="K32" s="486"/>
      <c r="L32" s="486"/>
      <c r="M32" s="486"/>
      <c r="N32" s="486"/>
    </row>
    <row r="33" spans="1:17" ht="13.8" thickBot="1">
      <c r="A33" s="786" t="s">
        <v>358</v>
      </c>
      <c r="B33" s="787"/>
      <c r="C33" s="787"/>
      <c r="D33" s="787"/>
      <c r="E33" s="787"/>
      <c r="F33" s="787"/>
      <c r="G33" s="788"/>
      <c r="H33" s="789">
        <v>0</v>
      </c>
      <c r="I33" s="790"/>
      <c r="J33" s="791">
        <v>6</v>
      </c>
      <c r="K33" s="792"/>
      <c r="L33" s="792"/>
      <c r="M33" s="792"/>
      <c r="N33" s="792"/>
    </row>
    <row r="34" spans="1:17" ht="13.8" thickTop="1"/>
    <row r="36" spans="1:17" ht="13.8" thickBot="1"/>
    <row r="37" spans="1:17" ht="14.4" thickTop="1" thickBot="1">
      <c r="A37" s="302" t="s">
        <v>365</v>
      </c>
      <c r="B37" s="358"/>
      <c r="C37" s="358"/>
      <c r="D37" s="358"/>
      <c r="E37" s="358"/>
      <c r="F37" s="358"/>
      <c r="G37" s="358"/>
      <c r="H37" s="358"/>
      <c r="I37" s="358"/>
      <c r="J37" s="358"/>
      <c r="K37" s="358"/>
      <c r="L37" s="358"/>
      <c r="M37" s="358"/>
      <c r="N37" s="358"/>
    </row>
    <row r="38" spans="1:17">
      <c r="A38" s="297" t="s">
        <v>15</v>
      </c>
      <c r="B38" s="298"/>
      <c r="C38" s="406" t="s">
        <v>16</v>
      </c>
      <c r="D38" s="298"/>
      <c r="E38" s="406" t="s">
        <v>17</v>
      </c>
      <c r="F38" s="298"/>
      <c r="G38" s="406" t="s">
        <v>18</v>
      </c>
      <c r="H38" s="298"/>
      <c r="I38" s="406" t="s">
        <v>19</v>
      </c>
      <c r="J38" s="298"/>
      <c r="K38" s="406" t="s">
        <v>20</v>
      </c>
      <c r="L38" s="298"/>
      <c r="M38" s="287" t="s">
        <v>21</v>
      </c>
      <c r="N38" s="351"/>
    </row>
    <row r="39" spans="1:17" ht="13.2" customHeight="1">
      <c r="A39" s="446" t="s">
        <v>79</v>
      </c>
      <c r="B39" s="421"/>
      <c r="C39" s="446" t="s">
        <v>367</v>
      </c>
      <c r="D39" s="421"/>
      <c r="E39" s="446" t="s">
        <v>80</v>
      </c>
      <c r="F39" s="421"/>
      <c r="G39" s="446" t="s">
        <v>370</v>
      </c>
      <c r="H39" s="421"/>
      <c r="I39" s="446" t="s">
        <v>28</v>
      </c>
      <c r="J39" s="421"/>
      <c r="K39" s="446" t="s">
        <v>377</v>
      </c>
      <c r="L39" s="421"/>
      <c r="M39" s="435" t="s">
        <v>81</v>
      </c>
      <c r="N39" s="436"/>
    </row>
    <row r="40" spans="1:17">
      <c r="A40" s="447"/>
      <c r="B40" s="422"/>
      <c r="C40" s="447"/>
      <c r="D40" s="422"/>
      <c r="E40" s="447"/>
      <c r="F40" s="422"/>
      <c r="G40" s="447"/>
      <c r="H40" s="422"/>
      <c r="I40" s="447"/>
      <c r="J40" s="422"/>
      <c r="K40" s="447"/>
      <c r="L40" s="422"/>
      <c r="M40" s="422"/>
      <c r="N40" s="437"/>
    </row>
    <row r="41" spans="1:17" ht="15.6">
      <c r="A41" s="445" t="s">
        <v>366</v>
      </c>
      <c r="B41" s="334"/>
      <c r="C41" s="445" t="s">
        <v>368</v>
      </c>
      <c r="D41" s="334"/>
      <c r="E41" s="445" t="s">
        <v>369</v>
      </c>
      <c r="F41" s="334"/>
      <c r="G41" s="445" t="s">
        <v>371</v>
      </c>
      <c r="H41" s="334"/>
      <c r="I41" s="445" t="s">
        <v>373</v>
      </c>
      <c r="J41" s="334"/>
      <c r="K41" s="445" t="s">
        <v>375</v>
      </c>
      <c r="L41" s="334"/>
      <c r="M41" s="413" t="s">
        <v>378</v>
      </c>
      <c r="N41" s="357"/>
    </row>
    <row r="42" spans="1:17">
      <c r="A42" s="443" t="s">
        <v>603</v>
      </c>
      <c r="B42" s="291"/>
      <c r="C42" s="443" t="s">
        <v>604</v>
      </c>
      <c r="D42" s="291"/>
      <c r="E42" s="443" t="s">
        <v>605</v>
      </c>
      <c r="F42" s="291"/>
      <c r="G42" s="443" t="s">
        <v>372</v>
      </c>
      <c r="H42" s="291"/>
      <c r="I42" s="443" t="s">
        <v>374</v>
      </c>
      <c r="J42" s="291"/>
      <c r="K42" s="443" t="s">
        <v>376</v>
      </c>
      <c r="L42" s="291"/>
      <c r="M42" s="444" t="s">
        <v>379</v>
      </c>
      <c r="N42" s="285"/>
    </row>
    <row r="43" spans="1:17" ht="13.8" thickBot="1">
      <c r="A43" s="419">
        <f>IF(J9="3ST",IF(J17=0,1,IF(J17=1,'Intersection Tables'!AB10,'Intersection Tables'!AC10)),IF(J9="4ST",IF(J17=0,1,IF(J17=1,'Intersection Tables'!AB12,'Intersection Tables'!AC12)),IF(J20=0,1,IF(J20=1,VLOOKUP(J9,'Intersection Tables'!Y11:AE13,4,FALSE),IF(J20=2,VLOOKUP(J9,'Intersection Tables'!Y11:AE13,5,FALSE),IF(J20=3,VLOOKUP(J9,'Intersection Tables'!Y11:AE13,6,FALSE),VLOOKUP(J9,'Intersection Tables'!Y11:AE13,7,FALSE)))))))</f>
        <v>0.86</v>
      </c>
      <c r="B43" s="439"/>
      <c r="C43" s="419">
        <f>IF($J$9="3ST",1,IF($J$9="4ST",1,T9))</f>
        <v>0.98009999999999997</v>
      </c>
      <c r="D43" s="439"/>
      <c r="E43" s="419">
        <f>IF(J9="3ST",POWER(0.86,J18),IF(J9="4ST",POWER(0.86,J18),POWER(0.96,J21)))</f>
        <v>0.92159999999999997</v>
      </c>
      <c r="F43" s="439"/>
      <c r="G43" s="419">
        <f>IF($J$9="3ST",1,IF(J$9="4ST",1,POWER(0.98,$J$27)))</f>
        <v>1</v>
      </c>
      <c r="H43" s="439"/>
      <c r="I43" s="419">
        <f>IF($J$14="Not Present",1,(1-(IF('Intersection Tables'!$C$85="No",VLOOKUP($J$9,'Intersection Tables'!$B$88:$G$91,3,FALSE),VLOOKUP($J$9,'Intersection Tables'!$B$88:$G$91,5,FALSE)))*0.38))</f>
        <v>0.91070000000000007</v>
      </c>
      <c r="J43" s="784"/>
      <c r="K43" s="419">
        <f>IF($J$28="Not Present",1,$T$24)</f>
        <v>1</v>
      </c>
      <c r="L43" s="784"/>
      <c r="M43" s="415">
        <f>+A43*C43*E43*G43*I43*K43</f>
        <v>0.70743516383231997</v>
      </c>
      <c r="N43" s="785"/>
      <c r="P43" s="22"/>
      <c r="Q43" s="143"/>
    </row>
    <row r="45" spans="1:17">
      <c r="A45" s="441"/>
      <c r="B45" s="442"/>
      <c r="E45" s="22"/>
    </row>
    <row r="46" spans="1:17" ht="13.8" thickBot="1"/>
    <row r="47" spans="1:17" ht="14.4" thickTop="1" thickBot="1">
      <c r="A47" s="302" t="s">
        <v>380</v>
      </c>
      <c r="B47" s="358"/>
      <c r="C47" s="358"/>
      <c r="D47" s="358"/>
      <c r="E47" s="358"/>
      <c r="F47" s="358"/>
      <c r="G47" s="358"/>
      <c r="H47" s="358"/>
      <c r="I47" s="358"/>
      <c r="J47" s="405"/>
      <c r="K47" s="405"/>
      <c r="L47" s="405"/>
      <c r="M47" s="405"/>
      <c r="N47" s="405"/>
    </row>
    <row r="48" spans="1:17">
      <c r="A48" s="297" t="s">
        <v>15</v>
      </c>
      <c r="B48" s="298"/>
      <c r="C48" s="556" t="s">
        <v>16</v>
      </c>
      <c r="D48" s="777"/>
      <c r="E48" s="604"/>
      <c r="F48" s="778" t="s">
        <v>17</v>
      </c>
      <c r="G48" s="604"/>
      <c r="H48" s="2" t="s">
        <v>18</v>
      </c>
      <c r="I48" s="349" t="s">
        <v>19</v>
      </c>
      <c r="J48" s="298"/>
      <c r="K48" s="2" t="s">
        <v>20</v>
      </c>
      <c r="L48" s="30" t="s">
        <v>21</v>
      </c>
      <c r="M48" s="30" t="s">
        <v>22</v>
      </c>
      <c r="N48" s="67" t="s">
        <v>23</v>
      </c>
    </row>
    <row r="49" spans="1:14" ht="13.2" customHeight="1">
      <c r="A49" s="430" t="s">
        <v>31</v>
      </c>
      <c r="B49" s="431"/>
      <c r="C49" s="643" t="s">
        <v>86</v>
      </c>
      <c r="D49" s="779"/>
      <c r="E49" s="780"/>
      <c r="F49" s="399" t="s">
        <v>684</v>
      </c>
      <c r="G49" s="400"/>
      <c r="H49" s="770" t="s">
        <v>381</v>
      </c>
      <c r="I49" s="338" t="s">
        <v>226</v>
      </c>
      <c r="J49" s="398"/>
      <c r="K49" s="403" t="s">
        <v>383</v>
      </c>
      <c r="L49" s="338" t="s">
        <v>33</v>
      </c>
      <c r="M49" s="338" t="s">
        <v>750</v>
      </c>
      <c r="N49" s="354" t="s">
        <v>384</v>
      </c>
    </row>
    <row r="50" spans="1:14" ht="13.2" customHeight="1">
      <c r="A50" s="432"/>
      <c r="B50" s="432"/>
      <c r="C50" s="645"/>
      <c r="D50" s="781"/>
      <c r="E50" s="782"/>
      <c r="F50" s="401"/>
      <c r="G50" s="402"/>
      <c r="H50" s="783"/>
      <c r="I50" s="398"/>
      <c r="J50" s="398"/>
      <c r="K50" s="352"/>
      <c r="L50" s="352"/>
      <c r="M50" s="352"/>
      <c r="N50" s="354"/>
    </row>
    <row r="51" spans="1:14" ht="13.2" customHeight="1">
      <c r="A51" s="432"/>
      <c r="B51" s="432"/>
      <c r="C51" s="438" t="s">
        <v>606</v>
      </c>
      <c r="D51" s="631"/>
      <c r="E51" s="617"/>
      <c r="F51" s="319" t="s">
        <v>606</v>
      </c>
      <c r="G51" s="408"/>
      <c r="H51" s="499" t="s">
        <v>708</v>
      </c>
      <c r="I51" s="398"/>
      <c r="J51" s="398"/>
      <c r="K51" s="348" t="s">
        <v>230</v>
      </c>
      <c r="L51" s="411" t="s">
        <v>392</v>
      </c>
      <c r="M51" s="353"/>
      <c r="N51" s="319" t="s">
        <v>232</v>
      </c>
    </row>
    <row r="52" spans="1:14" ht="13.2" customHeight="1">
      <c r="A52" s="432"/>
      <c r="B52" s="432"/>
      <c r="C52" s="70" t="s">
        <v>87</v>
      </c>
      <c r="D52" s="70" t="s">
        <v>88</v>
      </c>
      <c r="E52" s="70" t="s">
        <v>382</v>
      </c>
      <c r="F52" s="409" t="s">
        <v>652</v>
      </c>
      <c r="G52" s="410"/>
      <c r="H52" s="760"/>
      <c r="I52" s="398"/>
      <c r="J52" s="398"/>
      <c r="K52" s="300"/>
      <c r="L52" s="352"/>
      <c r="M52" s="353"/>
      <c r="N52" s="412"/>
    </row>
    <row r="53" spans="1:14">
      <c r="A53" s="336" t="s">
        <v>34</v>
      </c>
      <c r="B53" s="357"/>
      <c r="C53" s="11">
        <f>IF('Intersection Tables'!$D$4="No",VLOOKUP($J$9,'Intersection Tables'!$B$10:$F$13,MATCH(C$52,'Intersection Tables'!$B$8:$F$8,0),FALSE),VLOOKUP($J$9,'Intersection Tables'!$G$10:$K$13,MATCH(C$52,'Intersection Tables'!$G$8:$K$8,0),FALSE))</f>
        <v>-15.945</v>
      </c>
      <c r="D53" s="11">
        <f>IF('Intersection Tables'!$D$4="No",VLOOKUP($J$9,'Intersection Tables'!$B$10:$F$13,MATCH(D$52,'Intersection Tables'!$B$8:$F$8,0),FALSE),VLOOKUP($J$9,'Intersection Tables'!$G$10:$K$13,MATCH(D$52,'Intersection Tables'!$G$8:$K$8,0),FALSE))</f>
        <v>1.48</v>
      </c>
      <c r="E53" s="11">
        <f>IF('Intersection Tables'!$D$4="No",VLOOKUP($J$9,'Intersection Tables'!$B$10:$F$13,MATCH(E$52,'Intersection Tables'!$B$8:$F$8,0),FALSE),VLOOKUP($J$9,'Intersection Tables'!$G$10:$K$13,MATCH(E$52,'Intersection Tables'!$G$8:$K$8,0),FALSE))</f>
        <v>0.27</v>
      </c>
      <c r="F53" s="390">
        <f>IF('Intersection Tables'!$D$4="No",VLOOKUP($J$9,'Intersection Tables'!$B$10:$F$13,MATCH(F$52,'Intersection Tables'!$B$8:$F$8,0),FALSE),VLOOKUP($J$9,'Intersection Tables'!$G$10:$K$13,MATCH(F$52,'Intersection Tables'!$G$8:$K$8,0),FALSE))</f>
        <v>1.39</v>
      </c>
      <c r="G53" s="391" t="e">
        <f>IF('Intersection Tables'!$D$4="No",VLOOKUP($J$9,'Intersection Tables'!$B$10:$F$13,MATCH(G$52,'Intersection Tables'!$B$8:$F$8,0),FALSE),VLOOKUP($J$9,'Intersection Tables'!$G$10:$K$13,MATCH(G$52,'Intersection Tables'!$G$8:$K$8,0),FALSE))</f>
        <v>#N/A</v>
      </c>
      <c r="H53" s="3">
        <f>EXP(C53+(D53*LN($J$10))+(E53*LN($J$11)))</f>
        <v>2.1058868224292473</v>
      </c>
      <c r="I53" s="295">
        <v>1</v>
      </c>
      <c r="J53" s="296"/>
      <c r="K53" s="3">
        <f>H53*I53</f>
        <v>2.1058868224292473</v>
      </c>
      <c r="L53" s="184">
        <f>+M43</f>
        <v>0.70743516383231997</v>
      </c>
      <c r="M53" s="11">
        <f>$J$15*VLOOKUP(VLOOKUP($J$12,'Intersection Tables'!$U$29:$V$55,MATCH("Region",'Intersection Tables'!$U$29:$V$29,0),FALSE),'Intersection Tables'!$M$29:$R$34,MATCH($J$13,'Intersection Tables'!$M$29:$R$29,0),FALSE)</f>
        <v>1</v>
      </c>
      <c r="N53" s="185">
        <f>+K53*L53*M53</f>
        <v>1.4897783892375582</v>
      </c>
    </row>
    <row r="54" spans="1:14" ht="15.6">
      <c r="A54" s="383" t="s">
        <v>35</v>
      </c>
      <c r="B54" s="383"/>
      <c r="C54" s="364" t="str">
        <f>IF('Intersection Tables'!$D$4="No",VLOOKUP($J$9,'Intersection Tables'!$B$15:$F$18,MATCH(C$52,'Intersection Tables'!$B$8:$F$8,0),FALSE),"--")</f>
        <v>--</v>
      </c>
      <c r="D54" s="364" t="str">
        <f>IF('Intersection Tables'!$D$4="No",VLOOKUP($J$9,'Intersection Tables'!$B$15:$F$18,MATCH(D$52,'Intersection Tables'!$B$8:$F$8,0),FALSE),"--")</f>
        <v>--</v>
      </c>
      <c r="E54" s="364" t="str">
        <f>IF('Intersection Tables'!$D$4="No",VLOOKUP($J$9,'Intersection Tables'!$B$15:$F$18,MATCH(E$52,'Intersection Tables'!$B$8:$F$8,0),FALSE),"--")</f>
        <v>--</v>
      </c>
      <c r="F54" s="375" t="str">
        <f>IF('Intersection Tables'!$D$4="No",VLOOKUP($J$9,'Intersection Tables'!$B$15:$F$18,MATCH(F$52,'Intersection Tables'!$B$8:$F$8,0),FALSE),"--")</f>
        <v>--</v>
      </c>
      <c r="G54" s="376" t="str">
        <f>IF('Intersection Tables'!$D$4="No",VLOOKUP($J$9,'Intersection Tables'!$B$15:$F$18,MATCH(G$52,'Intersection Tables'!$B$8:$F$8,0),FALSE),"--")</f>
        <v>--</v>
      </c>
      <c r="H54" s="360">
        <f>IF('Intersection Tables'!$D$4="No",EXP(C54+(D54*LN($J$10))+(E54*LN($J$11))),H$53*HLOOKUP($J$9,'Intersection Tables'!$O$42:$R$49,6,FALSE)/100)</f>
        <v>0.7075779723362271</v>
      </c>
      <c r="I54" s="290" t="s">
        <v>233</v>
      </c>
      <c r="J54" s="291"/>
      <c r="K54" s="360">
        <f>H53*I55</f>
        <v>0.7075779723362271</v>
      </c>
      <c r="L54" s="362">
        <f>+M43</f>
        <v>0.70743516383231997</v>
      </c>
      <c r="M54" s="364">
        <f>$J$15*VLOOKUP(VLOOKUP($J$12,'Intersection Tables'!$U$29:$V$55,MATCH("Region",'Intersection Tables'!$U$29:$V$29,0),FALSE),'Intersection Tables'!$M$29:$R$34,MATCH($J$13,'Intersection Tables'!$M$29:$R$29,0),FALSE)</f>
        <v>1</v>
      </c>
      <c r="N54" s="366">
        <f>+K54*L54*M54</f>
        <v>0.5005655387838196</v>
      </c>
    </row>
    <row r="55" spans="1:14">
      <c r="A55" s="384"/>
      <c r="B55" s="384"/>
      <c r="C55" s="385">
        <f>IF('Intersection Tables'!$D$4="No",VLOOKUP($J$9,'Intersection Tables'!$B$10:$F$13,MATCH(C$52,'Intersection Tables'!$B$8:$F$8,0),FALSE),VLOOKUP($J$9,'Intersection Tables'!$G$10:$K$13,MATCH(C$52,'Intersection Tables'!$G$8:$K$8,0),FALSE))</f>
        <v>-15.945</v>
      </c>
      <c r="D55" s="385">
        <f>IF('Intersection Tables'!$D$4="No",VLOOKUP($J$9,'Intersection Tables'!$B$10:$F$13,MATCH(D$52,'Intersection Tables'!$B$8:$F$8,0),FALSE),VLOOKUP($J$9,'Intersection Tables'!$G$10:$K$13,MATCH(D$52,'Intersection Tables'!$G$8:$K$8,0),FALSE))</f>
        <v>1.48</v>
      </c>
      <c r="E55" s="385">
        <f>IF('Intersection Tables'!$D$4="No",VLOOKUP($J$9,'Intersection Tables'!$B$10:$F$13,MATCH(E$52,'Intersection Tables'!$B$8:$F$8,0),FALSE),VLOOKUP($J$9,'Intersection Tables'!$G$10:$K$13,MATCH(E$52,'Intersection Tables'!$G$8:$K$8,0),FALSE))</f>
        <v>0.27</v>
      </c>
      <c r="F55" s="386">
        <f>IF('Intersection Tables'!$D$4="No",VLOOKUP($J$9,'Intersection Tables'!$B$10:$F$13,MATCH(F$52,'Intersection Tables'!$B$8:$F$8,0),FALSE),VLOOKUP($J$9,'Intersection Tables'!$G$10:$K$13,MATCH(F$52,'Intersection Tables'!$G$8:$K$8,0),FALSE))</f>
        <v>1.39</v>
      </c>
      <c r="G55" s="387" t="e">
        <f>IF('Intersection Tables'!$D$4="No",VLOOKUP($J$9,'Intersection Tables'!$B$10:$F$13,MATCH(G$52,'Intersection Tables'!$B$8:$F$8,0),FALSE),VLOOKUP($J$9,'Intersection Tables'!$G$10:$K$13,MATCH(G$52,'Intersection Tables'!$G$8:$K$8,0),FALSE))</f>
        <v>#N/A</v>
      </c>
      <c r="H55" s="368"/>
      <c r="I55" s="295">
        <f>+H54/(H54+H56)</f>
        <v>0.33600000000000002</v>
      </c>
      <c r="J55" s="296"/>
      <c r="K55" s="368"/>
      <c r="L55" s="369"/>
      <c r="M55" s="404">
        <f>$J$15*VLOOKUP(VLOOKUP($J$12,'Intersection Tables'!$U$29:$V$55,MATCH("Region",'Intersection Tables'!$U$29:$V$29,0),FALSE),'Intersection Tables'!$M$29:$R$34,MATCH($J$13,'Intersection Tables'!$M$29:$R$29,0),FALSE)</f>
        <v>1</v>
      </c>
      <c r="N55" s="370"/>
    </row>
    <row r="56" spans="1:14" ht="15.6" customHeight="1">
      <c r="A56" s="301" t="s">
        <v>36</v>
      </c>
      <c r="B56" s="371"/>
      <c r="C56" s="364" t="str">
        <f>IF('Intersection Tables'!$D$4="No",VLOOKUP($J$9,'Intersection Tables'!$B$20:$F$23,MATCH(C$52,'Intersection Tables'!$B$8:$F$8,0),FALSE),"--")</f>
        <v>--</v>
      </c>
      <c r="D56" s="364" t="str">
        <f>IF('Intersection Tables'!$D$4="No",VLOOKUP($J$9,'Intersection Tables'!$B$20:$F$23,MATCH(D$52,'Intersection Tables'!$B$8:$F$8,0),FALSE),"--")</f>
        <v>--</v>
      </c>
      <c r="E56" s="364" t="str">
        <f>IF('Intersection Tables'!$D$4="No",VLOOKUP($J$9,'Intersection Tables'!$B$20:$F$23,MATCH(E$52,'Intersection Tables'!$B$8:$F$8,0),FALSE),"--")</f>
        <v>--</v>
      </c>
      <c r="F56" s="375" t="str">
        <f>IF('Intersection Tables'!$D$4="No",VLOOKUP($J$9,'Intersection Tables'!$B$20:$F$23,MATCH(F$52,'Intersection Tables'!$B$8:$F$8,0),FALSE),"--")</f>
        <v>--</v>
      </c>
      <c r="G56" s="376" t="str">
        <f>IF('Intersection Tables'!$D$4="No",VLOOKUP($J$9,'Intersection Tables'!$B$20:$F$23,MATCH(G$52,'Intersection Tables'!$B$8:$F$8,0),FALSE),"--")</f>
        <v>--</v>
      </c>
      <c r="H56" s="360">
        <f>IF('Intersection Tables'!$D$4="No",EXP(C56+(D56*LN($J$10))+(E56*LN($J$11))),H$53*HLOOKUP($J$9,'Intersection Tables'!$O$42:$R$49,7,FALSE)/100)</f>
        <v>1.3983088500930203</v>
      </c>
      <c r="I56" s="290" t="s">
        <v>234</v>
      </c>
      <c r="J56" s="291"/>
      <c r="K56" s="360">
        <f>H53*I57</f>
        <v>1.3983088500930201</v>
      </c>
      <c r="L56" s="362">
        <f>+M43</f>
        <v>0.70743516383231997</v>
      </c>
      <c r="M56" s="364">
        <f>$J$15*VLOOKUP(VLOOKUP($J$12,'Intersection Tables'!$U$29:$V$55,MATCH("Region",'Intersection Tables'!$U$29:$V$29,0),FALSE),'Intersection Tables'!$M$29:$R$34,MATCH($J$13,'Intersection Tables'!$M$29:$R$29,0),FALSE)</f>
        <v>1</v>
      </c>
      <c r="N56" s="366">
        <f>+K56*L56*M56</f>
        <v>0.98921285045373863</v>
      </c>
    </row>
    <row r="57" spans="1:14" ht="13.8" thickBot="1">
      <c r="A57" s="372"/>
      <c r="B57" s="373"/>
      <c r="C57" s="374">
        <f>IF('Intersection Tables'!$D$4="No",VLOOKUP($J$9,'Intersection Tables'!$B$10:$F$13,MATCH(C$52,'Intersection Tables'!$B$8:$F$8,0),FALSE),VLOOKUP($J$9,'Intersection Tables'!$G$10:$K$13,MATCH(C$52,'Intersection Tables'!$G$8:$K$8,0),FALSE))</f>
        <v>-15.945</v>
      </c>
      <c r="D57" s="374">
        <f>IF('Intersection Tables'!$D$4="No",VLOOKUP($J$9,'Intersection Tables'!$B$10:$F$13,MATCH(D$52,'Intersection Tables'!$B$8:$F$8,0),FALSE),VLOOKUP($J$9,'Intersection Tables'!$G$10:$K$13,MATCH(D$52,'Intersection Tables'!$G$8:$K$8,0),FALSE))</f>
        <v>1.48</v>
      </c>
      <c r="E57" s="374">
        <f>IF('Intersection Tables'!$D$4="No",VLOOKUP($J$9,'Intersection Tables'!$B$10:$F$13,MATCH(E$52,'Intersection Tables'!$B$8:$F$8,0),FALSE),VLOOKUP($J$9,'Intersection Tables'!$G$10:$K$13,MATCH(E$52,'Intersection Tables'!$G$8:$K$8,0),FALSE))</f>
        <v>0.27</v>
      </c>
      <c r="F57" s="377">
        <f>IF('Intersection Tables'!$D$4="No",VLOOKUP($J$9,'Intersection Tables'!$B$10:$F$13,MATCH(F$52,'Intersection Tables'!$B$8:$F$8,0),FALSE),VLOOKUP($J$9,'Intersection Tables'!$G$10:$K$13,MATCH(F$52,'Intersection Tables'!$G$8:$K$8,0),FALSE))</f>
        <v>1.39</v>
      </c>
      <c r="G57" s="378" t="e">
        <f>IF('Intersection Tables'!$D$4="No",VLOOKUP($J$9,'Intersection Tables'!$B$10:$F$13,MATCH(G$52,'Intersection Tables'!$B$8:$F$8,0),FALSE),VLOOKUP($J$9,'Intersection Tables'!$G$10:$K$13,MATCH(G$52,'Intersection Tables'!$G$8:$K$8,0),FALSE))</f>
        <v>#N/A</v>
      </c>
      <c r="H57" s="361"/>
      <c r="I57" s="305">
        <f>I53-I55</f>
        <v>0.66399999999999992</v>
      </c>
      <c r="J57" s="306"/>
      <c r="K57" s="361"/>
      <c r="L57" s="363"/>
      <c r="M57" s="365">
        <f>$J$15*VLOOKUP(VLOOKUP($J$12,'Intersection Tables'!$U$29:$V$55,MATCH("Region",'Intersection Tables'!$U$29:$V$29,0),FALSE),'Intersection Tables'!$M$29:$R$34,MATCH($J$13,'Intersection Tables'!$M$29:$R$29,0),FALSE)</f>
        <v>1</v>
      </c>
      <c r="N57" s="367"/>
    </row>
    <row r="60" spans="1:14" ht="13.8" thickBot="1"/>
    <row r="61" spans="1:14" ht="14.4" thickTop="1" thickBot="1">
      <c r="A61" s="302" t="s">
        <v>385</v>
      </c>
      <c r="B61" s="358"/>
      <c r="C61" s="358"/>
      <c r="D61" s="358"/>
      <c r="E61" s="358"/>
      <c r="F61" s="358"/>
      <c r="G61" s="358"/>
      <c r="H61" s="358"/>
      <c r="I61" s="359"/>
      <c r="J61" s="359"/>
      <c r="K61" s="359"/>
      <c r="L61" s="359"/>
      <c r="M61" s="359"/>
      <c r="N61" s="359"/>
    </row>
    <row r="62" spans="1:14">
      <c r="A62" s="297" t="s">
        <v>15</v>
      </c>
      <c r="B62" s="298"/>
      <c r="C62" s="298"/>
      <c r="D62" s="349" t="s">
        <v>16</v>
      </c>
      <c r="E62" s="350"/>
      <c r="F62" s="349" t="s">
        <v>17</v>
      </c>
      <c r="G62" s="349"/>
      <c r="H62" s="287" t="s">
        <v>18</v>
      </c>
      <c r="I62" s="350"/>
      <c r="J62" s="349" t="s">
        <v>19</v>
      </c>
      <c r="K62" s="349"/>
      <c r="L62" s="287" t="s">
        <v>20</v>
      </c>
      <c r="M62" s="350"/>
      <c r="N62" s="351"/>
    </row>
    <row r="63" spans="1:14" ht="13.2" customHeight="1">
      <c r="A63" s="498" t="s">
        <v>37</v>
      </c>
      <c r="B63" s="338"/>
      <c r="C63" s="334"/>
      <c r="D63" s="289" t="s">
        <v>38</v>
      </c>
      <c r="E63" s="340"/>
      <c r="F63" s="289" t="s">
        <v>386</v>
      </c>
      <c r="G63" s="289"/>
      <c r="H63" s="289" t="s">
        <v>256</v>
      </c>
      <c r="I63" s="340"/>
      <c r="J63" s="289" t="s">
        <v>388</v>
      </c>
      <c r="K63" s="289"/>
      <c r="L63" s="289" t="s">
        <v>389</v>
      </c>
      <c r="M63" s="289"/>
      <c r="N63" s="339"/>
    </row>
    <row r="64" spans="1:14">
      <c r="A64" s="498"/>
      <c r="B64" s="338"/>
      <c r="C64" s="334"/>
      <c r="D64" s="340"/>
      <c r="E64" s="340"/>
      <c r="F64" s="340"/>
      <c r="G64" s="340"/>
      <c r="H64" s="340"/>
      <c r="I64" s="340"/>
      <c r="J64" s="340"/>
      <c r="K64" s="340"/>
      <c r="L64" s="340"/>
      <c r="M64" s="340"/>
      <c r="N64" s="339"/>
    </row>
    <row r="65" spans="1:14">
      <c r="A65" s="286"/>
      <c r="B65" s="291"/>
      <c r="C65" s="334"/>
      <c r="D65" s="340"/>
      <c r="E65" s="340"/>
      <c r="F65" s="340"/>
      <c r="G65" s="340"/>
      <c r="H65" s="340"/>
      <c r="I65" s="340"/>
      <c r="J65" s="340"/>
      <c r="K65" s="340"/>
      <c r="L65" s="340"/>
      <c r="M65" s="340"/>
      <c r="N65" s="339"/>
    </row>
    <row r="66" spans="1:14" ht="13.2" customHeight="1">
      <c r="A66" s="286"/>
      <c r="B66" s="291"/>
      <c r="C66" s="334"/>
      <c r="D66" s="348" t="s">
        <v>607</v>
      </c>
      <c r="E66" s="334"/>
      <c r="F66" s="355" t="s">
        <v>387</v>
      </c>
      <c r="G66" s="356"/>
      <c r="H66" s="348" t="s">
        <v>607</v>
      </c>
      <c r="I66" s="334"/>
      <c r="J66" s="355" t="s">
        <v>397</v>
      </c>
      <c r="K66" s="356"/>
      <c r="L66" s="355" t="s">
        <v>397</v>
      </c>
      <c r="M66" s="356"/>
      <c r="N66" s="357"/>
    </row>
    <row r="67" spans="1:14">
      <c r="A67" s="286"/>
      <c r="B67" s="291"/>
      <c r="C67" s="334"/>
      <c r="D67" s="291"/>
      <c r="E67" s="334"/>
      <c r="F67" s="291"/>
      <c r="G67" s="291"/>
      <c r="H67" s="291"/>
      <c r="I67" s="334"/>
      <c r="J67" s="291"/>
      <c r="K67" s="291"/>
      <c r="L67" s="291"/>
      <c r="M67" s="291"/>
      <c r="N67" s="357"/>
    </row>
    <row r="68" spans="1:14">
      <c r="A68" s="336" t="s">
        <v>34</v>
      </c>
      <c r="B68" s="334"/>
      <c r="C68" s="334"/>
      <c r="D68" s="308">
        <v>1</v>
      </c>
      <c r="E68" s="308"/>
      <c r="F68" s="295">
        <f>+N54</f>
        <v>0.5005655387838196</v>
      </c>
      <c r="G68" s="286"/>
      <c r="H68" s="308">
        <v>1</v>
      </c>
      <c r="I68" s="308"/>
      <c r="J68" s="295">
        <f>+N56</f>
        <v>0.98921285045373863</v>
      </c>
      <c r="K68" s="286"/>
      <c r="L68" s="295">
        <f>+N53</f>
        <v>1.4897783892375582</v>
      </c>
      <c r="M68" s="337"/>
      <c r="N68" s="337"/>
    </row>
    <row r="69" spans="1:14" ht="15.6">
      <c r="A69" s="336"/>
      <c r="B69" s="334"/>
      <c r="C69" s="334"/>
      <c r="D69" s="334"/>
      <c r="E69" s="334"/>
      <c r="F69" s="335" t="s">
        <v>248</v>
      </c>
      <c r="G69" s="291"/>
      <c r="H69" s="334"/>
      <c r="I69" s="334"/>
      <c r="J69" s="335" t="s">
        <v>249</v>
      </c>
      <c r="K69" s="291"/>
      <c r="L69" s="335" t="s">
        <v>250</v>
      </c>
      <c r="M69" s="291"/>
      <c r="N69" s="285"/>
    </row>
    <row r="70" spans="1:14">
      <c r="A70" s="326" t="s">
        <v>41</v>
      </c>
      <c r="B70" s="334"/>
      <c r="C70" s="334"/>
      <c r="D70" s="295">
        <f>IF('Intersection Tables'!$C$41="No",VLOOKUP($A70,'Intersection Tables'!$B$43:$K$48,MATCH($J$9&amp;", FI",'Intersection Tables'!$B$43:$K$43,0),FALSE),VLOOKUP($A70,'Intersection Tables'!$B$51:$K$56,MATCH($J$9&amp;", FI",'Intersection Tables'!$B$51:$K$51,0),FALSE))</f>
        <v>6.9000000000000006E-2</v>
      </c>
      <c r="E70" s="296"/>
      <c r="F70" s="295">
        <f>+D70*$F$68</f>
        <v>3.4539022176083553E-2</v>
      </c>
      <c r="G70" s="296"/>
      <c r="H70" s="295">
        <f>IF('Intersection Tables'!$C$41="No",VLOOKUP($A70,'Intersection Tables'!$B$43:$K$48,MATCH($J$9&amp;", PDO",'Intersection Tables'!$B$43:$K$43,0),FALSE),VLOOKUP($A70,'Intersection Tables'!$B$51:$K$56,MATCH($J$9&amp;", PDO",'Intersection Tables'!$B$51:$K$51,0),FALSE))</f>
        <v>7.6999999999999999E-2</v>
      </c>
      <c r="I70" s="296"/>
      <c r="J70" s="295">
        <f>+H70*$J$68</f>
        <v>7.6169389484937872E-2</v>
      </c>
      <c r="K70" s="296"/>
      <c r="L70" s="308">
        <f>+F70+J70</f>
        <v>0.11070841166102142</v>
      </c>
      <c r="M70" s="308"/>
      <c r="N70" s="295"/>
    </row>
    <row r="71" spans="1:14">
      <c r="A71" s="333" t="s">
        <v>40</v>
      </c>
      <c r="B71" s="334"/>
      <c r="C71" s="334"/>
      <c r="D71" s="295">
        <f>IF('Intersection Tables'!$C$41="No",VLOOKUP($A71,'Intersection Tables'!$B$43:$K$48,MATCH($J$9&amp;", FI",'Intersection Tables'!$B$43:$K$43,0),FALSE),VLOOKUP($A71,'Intersection Tables'!$B$51:$K$56,MATCH($J$9&amp;", FI",'Intersection Tables'!$B$51:$K$51,0),FALSE))</f>
        <v>6.0000000000000001E-3</v>
      </c>
      <c r="E71" s="296"/>
      <c r="F71" s="295">
        <f>+D71*$F$68</f>
        <v>3.0033932327029177E-3</v>
      </c>
      <c r="G71" s="296"/>
      <c r="H71" s="295">
        <f>IF('Intersection Tables'!$C$41="No",VLOOKUP($A71,'Intersection Tables'!$B$43:$K$48,MATCH($J$9&amp;", PDO",'Intersection Tables'!$B$43:$K$43,0),FALSE),VLOOKUP($A71,'Intersection Tables'!$B$51:$K$56,MATCH($J$9&amp;", PDO",'Intersection Tables'!$B$51:$K$51,0),FALSE))</f>
        <v>2E-3</v>
      </c>
      <c r="I71" s="296"/>
      <c r="J71" s="295">
        <f>+H71*$J$68</f>
        <v>1.9784257009074773E-3</v>
      </c>
      <c r="K71" s="296"/>
      <c r="L71" s="308">
        <f>+F71+J71</f>
        <v>4.9818189336103946E-3</v>
      </c>
      <c r="M71" s="308"/>
      <c r="N71" s="295"/>
    </row>
    <row r="72" spans="1:14">
      <c r="A72" s="333" t="s">
        <v>39</v>
      </c>
      <c r="B72" s="334"/>
      <c r="C72" s="334"/>
      <c r="D72" s="295">
        <f>IF('Intersection Tables'!$C$41="No",VLOOKUP($A72,'Intersection Tables'!$B$43:$K$48,MATCH($J$9&amp;", FI",'Intersection Tables'!$B$43:$K$43,0),FALSE),VLOOKUP($A72,'Intersection Tables'!$B$51:$K$56,MATCH($J$9&amp;", FI",'Intersection Tables'!$B$51:$K$51,0),FALSE))</f>
        <v>0.22800000000000001</v>
      </c>
      <c r="E72" s="296"/>
      <c r="F72" s="295">
        <f>+D72*$F$68</f>
        <v>0.11412894284271087</v>
      </c>
      <c r="G72" s="296"/>
      <c r="H72" s="295">
        <f>IF('Intersection Tables'!$C$41="No",VLOOKUP($A72,'Intersection Tables'!$B$43:$K$48,MATCH($J$9&amp;", PDO",'Intersection Tables'!$B$43:$K$43,0),FALSE),VLOOKUP($A72,'Intersection Tables'!$B$51:$K$56,MATCH($J$9&amp;", PDO",'Intersection Tables'!$B$51:$K$51,0),FALSE))</f>
        <v>0.22600000000000001</v>
      </c>
      <c r="I72" s="296"/>
      <c r="J72" s="295">
        <f>+H72*$J$68</f>
        <v>0.22356210420254494</v>
      </c>
      <c r="K72" s="296"/>
      <c r="L72" s="308">
        <f>+F72+J72</f>
        <v>0.33769104704525582</v>
      </c>
      <c r="M72" s="308"/>
      <c r="N72" s="295"/>
    </row>
    <row r="73" spans="1:14">
      <c r="A73" s="333" t="s">
        <v>93</v>
      </c>
      <c r="B73" s="334"/>
      <c r="C73" s="334"/>
      <c r="D73" s="295">
        <f>IF('Intersection Tables'!$C$41="No",VLOOKUP($A73,'Intersection Tables'!$B$43:$K$48,MATCH($J$9&amp;", FI",'Intersection Tables'!$B$43:$K$43,0),FALSE),VLOOKUP($A73,'Intersection Tables'!$B$51:$K$56,MATCH($J$9&amp;", FI",'Intersection Tables'!$B$51:$K$51,0),FALSE))</f>
        <v>1.2E-2</v>
      </c>
      <c r="E73" s="296"/>
      <c r="F73" s="295">
        <f>+D73*$F$68</f>
        <v>6.0067864654058355E-3</v>
      </c>
      <c r="G73" s="296"/>
      <c r="H73" s="295">
        <f>IF('Intersection Tables'!$C$41="No",VLOOKUP($A73,'Intersection Tables'!$B$43:$K$48,MATCH($J$9&amp;", PDO",'Intersection Tables'!$B$43:$K$43,0),FALSE),VLOOKUP($A73,'Intersection Tables'!$B$51:$K$56,MATCH($J$9&amp;", PDO",'Intersection Tables'!$B$51:$K$51,0),FALSE))</f>
        <v>2.7999999999999997E-2</v>
      </c>
      <c r="I73" s="296"/>
      <c r="J73" s="295">
        <f>+H73*$J$68</f>
        <v>2.7697959812704679E-2</v>
      </c>
      <c r="K73" s="296"/>
      <c r="L73" s="308">
        <f>+F73+J73</f>
        <v>3.3704746278110514E-2</v>
      </c>
      <c r="M73" s="308"/>
      <c r="N73" s="295"/>
    </row>
    <row r="74" spans="1:14" ht="13.8" thickBot="1">
      <c r="A74" s="303" t="s">
        <v>255</v>
      </c>
      <c r="B74" s="304"/>
      <c r="C74" s="304"/>
      <c r="D74" s="305">
        <f>IF('Intersection Tables'!$C$41="No",VLOOKUP($A74,'Intersection Tables'!$B$43:$K$48,MATCH($J$9&amp;", FI",'Intersection Tables'!$B$43:$K$43,0),FALSE),VLOOKUP($A74,'Intersection Tables'!$B$51:$K$56,MATCH($J$9&amp;", FI",'Intersection Tables'!$B$51:$K$51,0),FALSE))</f>
        <v>0.68400000000000005</v>
      </c>
      <c r="E74" s="306"/>
      <c r="F74" s="305">
        <f>+D74*$F$68</f>
        <v>0.34238682852813263</v>
      </c>
      <c r="G74" s="306"/>
      <c r="H74" s="305">
        <f>IF('Intersection Tables'!$C$41="No",VLOOKUP($A74,'Intersection Tables'!$B$43:$K$48,MATCH($J$9&amp;", PDO",'Intersection Tables'!$B$43:$K$43,0),FALSE),VLOOKUP($A74,'Intersection Tables'!$B$51:$K$56,MATCH($J$9&amp;", PDO",'Intersection Tables'!$B$51:$K$51,0),FALSE))</f>
        <v>0.66599999999999993</v>
      </c>
      <c r="I74" s="306"/>
      <c r="J74" s="305">
        <f>+H74*$J$68</f>
        <v>0.65881575840218987</v>
      </c>
      <c r="K74" s="306"/>
      <c r="L74" s="307">
        <f>+F74+J74</f>
        <v>1.0012025869303225</v>
      </c>
      <c r="M74" s="307"/>
      <c r="N74" s="305"/>
    </row>
    <row r="75" spans="1:14" ht="12.75" customHeight="1"/>
    <row r="77" spans="1:14" ht="13.8" thickBot="1"/>
    <row r="78" spans="1:14" ht="14.4" thickTop="1" thickBot="1">
      <c r="A78" s="302" t="s">
        <v>390</v>
      </c>
      <c r="B78" s="358"/>
      <c r="C78" s="358"/>
      <c r="D78" s="358"/>
      <c r="E78" s="358"/>
      <c r="F78" s="358"/>
      <c r="G78" s="358"/>
      <c r="H78" s="358"/>
      <c r="I78" s="358"/>
      <c r="J78" s="405"/>
      <c r="K78" s="405"/>
      <c r="L78" s="405"/>
      <c r="M78" s="405"/>
      <c r="N78" s="405"/>
    </row>
    <row r="79" spans="1:14">
      <c r="A79" s="297" t="s">
        <v>15</v>
      </c>
      <c r="B79" s="298"/>
      <c r="C79" s="556" t="s">
        <v>16</v>
      </c>
      <c r="D79" s="777"/>
      <c r="E79" s="604"/>
      <c r="F79" s="778" t="s">
        <v>17</v>
      </c>
      <c r="G79" s="604"/>
      <c r="H79" s="2" t="s">
        <v>18</v>
      </c>
      <c r="I79" s="349" t="s">
        <v>19</v>
      </c>
      <c r="J79" s="298"/>
      <c r="K79" s="2" t="s">
        <v>20</v>
      </c>
      <c r="L79" s="30" t="s">
        <v>21</v>
      </c>
      <c r="M79" s="30" t="s">
        <v>22</v>
      </c>
      <c r="N79" s="67" t="s">
        <v>23</v>
      </c>
    </row>
    <row r="80" spans="1:14" ht="13.2" customHeight="1">
      <c r="A80" s="314" t="s">
        <v>31</v>
      </c>
      <c r="B80" s="744"/>
      <c r="C80" s="643" t="s">
        <v>86</v>
      </c>
      <c r="D80" s="768"/>
      <c r="E80" s="672"/>
      <c r="F80" s="399" t="s">
        <v>684</v>
      </c>
      <c r="G80" s="672"/>
      <c r="H80" s="770" t="s">
        <v>391</v>
      </c>
      <c r="I80" s="338" t="s">
        <v>226</v>
      </c>
      <c r="J80" s="398"/>
      <c r="K80" s="403" t="s">
        <v>383</v>
      </c>
      <c r="L80" s="338" t="s">
        <v>33</v>
      </c>
      <c r="M80" s="338" t="s">
        <v>750</v>
      </c>
      <c r="N80" s="354" t="s">
        <v>393</v>
      </c>
    </row>
    <row r="81" spans="1:14" ht="13.2" customHeight="1">
      <c r="A81" s="745"/>
      <c r="B81" s="508"/>
      <c r="C81" s="437"/>
      <c r="D81" s="769"/>
      <c r="E81" s="447"/>
      <c r="F81" s="437"/>
      <c r="G81" s="447"/>
      <c r="H81" s="422"/>
      <c r="I81" s="398"/>
      <c r="J81" s="398"/>
      <c r="K81" s="352"/>
      <c r="L81" s="352"/>
      <c r="M81" s="352"/>
      <c r="N81" s="354"/>
    </row>
    <row r="82" spans="1:14" ht="13.2" customHeight="1">
      <c r="A82" s="745"/>
      <c r="B82" s="508"/>
      <c r="C82" s="771" t="s">
        <v>608</v>
      </c>
      <c r="D82" s="772"/>
      <c r="E82" s="773"/>
      <c r="F82" s="551" t="s">
        <v>608</v>
      </c>
      <c r="G82" s="552"/>
      <c r="H82" s="499" t="s">
        <v>709</v>
      </c>
      <c r="I82" s="398"/>
      <c r="J82" s="398"/>
      <c r="K82" s="348" t="s">
        <v>230</v>
      </c>
      <c r="L82" s="411" t="s">
        <v>392</v>
      </c>
      <c r="M82" s="353"/>
      <c r="N82" s="319" t="s">
        <v>232</v>
      </c>
    </row>
    <row r="83" spans="1:14" ht="13.2" customHeight="1">
      <c r="A83" s="745"/>
      <c r="B83" s="508"/>
      <c r="C83" s="774"/>
      <c r="D83" s="775"/>
      <c r="E83" s="776"/>
      <c r="F83" s="553"/>
      <c r="G83" s="554"/>
      <c r="H83" s="759"/>
      <c r="I83" s="398"/>
      <c r="J83" s="398"/>
      <c r="K83" s="300"/>
      <c r="L83" s="352"/>
      <c r="M83" s="353"/>
      <c r="N83" s="412"/>
    </row>
    <row r="84" spans="1:14">
      <c r="A84" s="746"/>
      <c r="B84" s="510"/>
      <c r="C84" s="151" t="s">
        <v>87</v>
      </c>
      <c r="D84" s="151" t="s">
        <v>88</v>
      </c>
      <c r="E84" s="151" t="s">
        <v>382</v>
      </c>
      <c r="F84" s="319" t="s">
        <v>652</v>
      </c>
      <c r="G84" s="408"/>
      <c r="H84" s="760"/>
      <c r="I84" s="124"/>
      <c r="J84" s="127"/>
      <c r="K84" s="120"/>
      <c r="L84" s="121"/>
      <c r="M84" s="122"/>
      <c r="N84" s="123"/>
    </row>
    <row r="85" spans="1:14">
      <c r="A85" s="336" t="s">
        <v>34</v>
      </c>
      <c r="B85" s="357"/>
      <c r="C85" s="11">
        <f>IF('Intersection Tables'!$O$4="No",VLOOKUP($J$9,'Intersection Tables'!$M$10:$Q$13,MATCH(C$84,'Intersection Tables'!$M$8:$Q$8,0),FALSE),VLOOKUP($J$9,'Intersection Tables'!$R$10:$V$13,MATCH(C$84,'Intersection Tables'!$R$8:$V$8,0),FALSE))</f>
        <v>-8.4580000000000002</v>
      </c>
      <c r="D85" s="11">
        <f>IF('Intersection Tables'!$O$4="No",VLOOKUP($J$9,'Intersection Tables'!$M$10:$Q$13,MATCH(D$84,'Intersection Tables'!$M$8:$Q$8,0),FALSE),VLOOKUP($J$9,'Intersection Tables'!$R$10:$V$13,MATCH(D$84,'Intersection Tables'!$R$8:$V$8,0),FALSE))</f>
        <v>0.42</v>
      </c>
      <c r="E85" s="11">
        <f>IF('Intersection Tables'!$O$4="No",VLOOKUP($J$9,'Intersection Tables'!$M$10:$Q$13,MATCH(E$84,'Intersection Tables'!$M$8:$Q$8,0),FALSE),VLOOKUP($J$9,'Intersection Tables'!$R$10:$V$13,MATCH(E$84,'Intersection Tables'!$R$8:$V$8,0),FALSE))</f>
        <v>0.27</v>
      </c>
      <c r="F85" s="390">
        <f>IF('Intersection Tables'!$O$4="No",VLOOKUP($J$9,'Intersection Tables'!$M$10:$Q$13,MATCH(F$84,'Intersection Tables'!$M$8:$Q$8,0),FALSE),VLOOKUP($J$9,'Intersection Tables'!$R$10:$V$13,MATCH(F$84,'Intersection Tables'!$R$8:$V$8,0),FALSE))</f>
        <v>0.11</v>
      </c>
      <c r="G85" s="336" t="e">
        <f>IF('Intersection Tables'!$O$4="No",VLOOKUP($J$9,'Intersection Tables'!$M$10:$Q$13,MATCH(G$84,'Intersection Tables'!$M$8:$Q$8,0),FALSE),VLOOKUP($J$9,'Intersection Tables'!$R$10:$V$13,MATCH(G$84,'Intersection Tables'!$R$8:$V$8,0),FALSE))</f>
        <v>#N/A</v>
      </c>
      <c r="H85" s="3">
        <f>EXP(C85+(D85*LN($J$10))+(E85*LN($J$11)))</f>
        <v>0.14071522142613146</v>
      </c>
      <c r="I85" s="295">
        <v>1</v>
      </c>
      <c r="J85" s="296"/>
      <c r="K85" s="3">
        <f>H85*I85</f>
        <v>0.14071522142613146</v>
      </c>
      <c r="L85" s="184">
        <f>+M43</f>
        <v>0.70743516383231997</v>
      </c>
      <c r="M85" s="11">
        <f>$J$15*VLOOKUP(VLOOKUP($J$12,'Intersection Tables'!$U$29:$V$55,MATCH("Region",'Intersection Tables'!$U$29:$V$29,0),FALSE),'Intersection Tables'!$M$29:$R$34,MATCH($J$13,'Intersection Tables'!$M$29:$R$29,0),FALSE)</f>
        <v>1</v>
      </c>
      <c r="N85" s="185">
        <f>+K85*L85*M85</f>
        <v>9.9546895723296489E-2</v>
      </c>
    </row>
    <row r="86" spans="1:14" ht="15.6">
      <c r="A86" s="383" t="s">
        <v>35</v>
      </c>
      <c r="B86" s="383"/>
      <c r="C86" s="364" t="str">
        <f>IF('Intersection Tables'!$O$4="No",VLOOKUP($J$9,'Intersection Tables'!$M$15:$Q$18,MATCH(C$84,'Intersection Tables'!$M$8:$Q$8,0),FALSE),"--")</f>
        <v>--</v>
      </c>
      <c r="D86" s="364" t="str">
        <f>IF('Intersection Tables'!$O$4="No",VLOOKUP($J$9,'Intersection Tables'!$M$15:$Q$18,MATCH(D$84,'Intersection Tables'!$M$8:$Q$8,0),FALSE),"--")</f>
        <v>--</v>
      </c>
      <c r="E86" s="364" t="str">
        <f>IF('Intersection Tables'!$O$4="No",VLOOKUP($J$9,'Intersection Tables'!$M$15:$Q$18,MATCH(E$84,'Intersection Tables'!$M$8:$Q$8,0),FALSE),"--")</f>
        <v>--</v>
      </c>
      <c r="F86" s="763" t="str">
        <f>IF('Intersection Tables'!$O$4="No",VLOOKUP($J$9,'Intersection Tables'!$M$15:$Q$18,MATCH(F$84,'Intersection Tables'!$M$8:$Q$8,0),FALSE),"--")</f>
        <v>--</v>
      </c>
      <c r="G86" s="764" t="str">
        <f>IF('Intersection Tables'!$O$4="No",VLOOKUP($J$9,'Intersection Tables'!$M$15:$Q$18,MATCH(G$84,'Intersection Tables'!$M$8:$Q$8,0),FALSE),"--")</f>
        <v>--</v>
      </c>
      <c r="H86" s="360">
        <f>IF('Intersection Tables'!$O$4="No",IF(J9="3ST",H85*0.31,IF(J9="4ST",H85*0.28,(EXP(C86+(D86*LN($J$10))+(E86*LN($J$11)))))),H85*HLOOKUP($J$9,'Intersection Tables'!$O$54:$R$61,6,FALSE)/100)</f>
        <v>4.3903149084953012E-2</v>
      </c>
      <c r="I86" s="290" t="s">
        <v>233</v>
      </c>
      <c r="J86" s="291"/>
      <c r="K86" s="360">
        <f>H85*I87</f>
        <v>4.3903149084953012E-2</v>
      </c>
      <c r="L86" s="362">
        <f>+M43</f>
        <v>0.70743516383231997</v>
      </c>
      <c r="M86" s="364">
        <f>$J$15*VLOOKUP(VLOOKUP($J$12,'Intersection Tables'!$U$29:$V$55,MATCH("Region",'Intersection Tables'!$U$29:$V$29,0),FALSE),'Intersection Tables'!$M$29:$R$34,MATCH($J$13,'Intersection Tables'!$M$29:$R$29,0),FALSE)</f>
        <v>1</v>
      </c>
      <c r="N86" s="366">
        <f>+K86*L86*M86</f>
        <v>3.1058631465668503E-2</v>
      </c>
    </row>
    <row r="87" spans="1:14">
      <c r="A87" s="384"/>
      <c r="B87" s="384"/>
      <c r="C87" s="404"/>
      <c r="D87" s="404"/>
      <c r="E87" s="404"/>
      <c r="F87" s="530"/>
      <c r="G87" s="767"/>
      <c r="H87" s="404"/>
      <c r="I87" s="295">
        <f>+H86/(H86+H88)</f>
        <v>0.31199999999999994</v>
      </c>
      <c r="J87" s="296"/>
      <c r="K87" s="368"/>
      <c r="L87" s="369"/>
      <c r="M87" s="404">
        <f>$J$15*VLOOKUP(VLOOKUP($J$12,'Intersection Tables'!$U$29:$V$55,MATCH("Region",'Intersection Tables'!$U$29:$V$29,0),FALSE),'Intersection Tables'!$M$29:$R$34,MATCH($J$13,'Intersection Tables'!$M$29:$R$29,0),FALSE)</f>
        <v>1</v>
      </c>
      <c r="N87" s="370"/>
    </row>
    <row r="88" spans="1:14" ht="15.6" customHeight="1">
      <c r="A88" s="301" t="s">
        <v>36</v>
      </c>
      <c r="B88" s="371"/>
      <c r="C88" s="762" t="str">
        <f>IF('Intersection Tables'!$O$4="No",VLOOKUP($J$9,'Intersection Tables'!$M$20:$Q$23,MATCH(C$84,'Intersection Tables'!$M$8:$Q$8,0),FALSE),"--")</f>
        <v>--</v>
      </c>
      <c r="D88" s="364" t="str">
        <f>IF('Intersection Tables'!$O$4="No",VLOOKUP($J$9,'Intersection Tables'!$M$20:$Q$23,MATCH(D$84,'Intersection Tables'!$M$8:$Q$8,0),FALSE),"--")</f>
        <v>--</v>
      </c>
      <c r="E88" s="364" t="str">
        <f>IF('Intersection Tables'!$O$4="No",VLOOKUP($J$9,'Intersection Tables'!$M$20:$Q$23,MATCH(E$84,'Intersection Tables'!$M$8:$Q$8,0),FALSE),"--")</f>
        <v>--</v>
      </c>
      <c r="F88" s="763" t="str">
        <f>IF('Intersection Tables'!$O$4="No",VLOOKUP($J$9,'Intersection Tables'!$M$20:$Q$23,MATCH(F$84,'Intersection Tables'!$M$8:$Q$8,0),FALSE),"--")</f>
        <v>--</v>
      </c>
      <c r="G88" s="764" t="str">
        <f>IF('Intersection Tables'!$O$4="No",VLOOKUP($J$9,'Intersection Tables'!$M$20:$Q$23,MATCH(G$84,'Intersection Tables'!$M$8:$Q$8,0),FALSE),"--")</f>
        <v>--</v>
      </c>
      <c r="H88" s="761">
        <f>IF('Intersection Tables'!$O$4="No",EXP(C88+(D88*LN($J$10))+(E88*LN($J$11))),H85*HLOOKUP($J$9,'Intersection Tables'!$O$54:$R$61,7,FALSE)/100)</f>
        <v>9.6812072341178446E-2</v>
      </c>
      <c r="I88" s="290" t="s">
        <v>234</v>
      </c>
      <c r="J88" s="291"/>
      <c r="K88" s="360">
        <f>H85*I89</f>
        <v>9.681207234117846E-2</v>
      </c>
      <c r="L88" s="362">
        <f>+M43</f>
        <v>0.70743516383231997</v>
      </c>
      <c r="M88" s="364">
        <f>$J$15*VLOOKUP(VLOOKUP($J$12,'Intersection Tables'!$U$29:$V$55,MATCH("Region",'Intersection Tables'!$U$29:$V$29,0),FALSE),'Intersection Tables'!$M$29:$R$34,MATCH($J$13,'Intersection Tables'!$M$29:$R$29,0),FALSE)</f>
        <v>1</v>
      </c>
      <c r="N88" s="366">
        <f>+K88*L88*M88</f>
        <v>6.8488264257627995E-2</v>
      </c>
    </row>
    <row r="89" spans="1:14" ht="13.8" thickBot="1">
      <c r="A89" s="372"/>
      <c r="B89" s="373"/>
      <c r="C89" s="365"/>
      <c r="D89" s="365"/>
      <c r="E89" s="365"/>
      <c r="F89" s="765"/>
      <c r="G89" s="766"/>
      <c r="H89" s="365"/>
      <c r="I89" s="305">
        <f>I85-I87</f>
        <v>0.68800000000000006</v>
      </c>
      <c r="J89" s="306"/>
      <c r="K89" s="361"/>
      <c r="L89" s="363"/>
      <c r="M89" s="365">
        <f>$J$15*VLOOKUP(VLOOKUP($J$12,'Intersection Tables'!$U$29:$V$55,MATCH("Region",'Intersection Tables'!$U$29:$V$29,0),FALSE),'Intersection Tables'!$M$29:$R$34,MATCH($J$13,'Intersection Tables'!$M$29:$R$29,0),FALSE)</f>
        <v>1</v>
      </c>
      <c r="N89" s="367"/>
    </row>
    <row r="91" spans="1:14">
      <c r="F91" s="22"/>
    </row>
    <row r="92" spans="1:14" ht="13.8" thickBot="1"/>
    <row r="93" spans="1:14" ht="14.4" thickTop="1" thickBot="1">
      <c r="A93" s="302" t="s">
        <v>394</v>
      </c>
      <c r="B93" s="358"/>
      <c r="C93" s="358"/>
      <c r="D93" s="358"/>
      <c r="E93" s="358"/>
      <c r="F93" s="358"/>
      <c r="G93" s="358"/>
      <c r="H93" s="358"/>
      <c r="I93" s="359"/>
      <c r="J93" s="359"/>
      <c r="K93" s="359"/>
      <c r="L93" s="359"/>
      <c r="M93" s="359"/>
      <c r="N93" s="359"/>
    </row>
    <row r="94" spans="1:14">
      <c r="A94" s="297" t="s">
        <v>15</v>
      </c>
      <c r="B94" s="298"/>
      <c r="C94" s="298"/>
      <c r="D94" s="349" t="s">
        <v>16</v>
      </c>
      <c r="E94" s="350"/>
      <c r="F94" s="349" t="s">
        <v>17</v>
      </c>
      <c r="G94" s="349"/>
      <c r="H94" s="287" t="s">
        <v>18</v>
      </c>
      <c r="I94" s="350"/>
      <c r="J94" s="349" t="s">
        <v>19</v>
      </c>
      <c r="K94" s="349"/>
      <c r="L94" s="287" t="s">
        <v>20</v>
      </c>
      <c r="M94" s="350"/>
      <c r="N94" s="351"/>
    </row>
    <row r="95" spans="1:14" ht="13.2" customHeight="1">
      <c r="A95" s="498" t="s">
        <v>37</v>
      </c>
      <c r="B95" s="338"/>
      <c r="C95" s="334"/>
      <c r="D95" s="289" t="s">
        <v>38</v>
      </c>
      <c r="E95" s="340"/>
      <c r="F95" s="289" t="s">
        <v>402</v>
      </c>
      <c r="G95" s="289"/>
      <c r="H95" s="289" t="s">
        <v>256</v>
      </c>
      <c r="I95" s="340"/>
      <c r="J95" s="289" t="s">
        <v>401</v>
      </c>
      <c r="K95" s="289"/>
      <c r="L95" s="289" t="s">
        <v>400</v>
      </c>
      <c r="M95" s="289"/>
      <c r="N95" s="339"/>
    </row>
    <row r="96" spans="1:14">
      <c r="A96" s="498"/>
      <c r="B96" s="338"/>
      <c r="C96" s="334"/>
      <c r="D96" s="340"/>
      <c r="E96" s="340"/>
      <c r="F96" s="340"/>
      <c r="G96" s="340"/>
      <c r="H96" s="340"/>
      <c r="I96" s="340"/>
      <c r="J96" s="340"/>
      <c r="K96" s="340"/>
      <c r="L96" s="340"/>
      <c r="M96" s="340"/>
      <c r="N96" s="339"/>
    </row>
    <row r="97" spans="1:14">
      <c r="A97" s="286"/>
      <c r="B97" s="291"/>
      <c r="C97" s="334"/>
      <c r="D97" s="340"/>
      <c r="E97" s="340"/>
      <c r="F97" s="340"/>
      <c r="G97" s="340"/>
      <c r="H97" s="340"/>
      <c r="I97" s="340"/>
      <c r="J97" s="340"/>
      <c r="K97" s="340"/>
      <c r="L97" s="340"/>
      <c r="M97" s="340"/>
      <c r="N97" s="339"/>
    </row>
    <row r="98" spans="1:14" ht="13.2" customHeight="1">
      <c r="A98" s="286"/>
      <c r="B98" s="291"/>
      <c r="C98" s="334"/>
      <c r="D98" s="348" t="s">
        <v>609</v>
      </c>
      <c r="E98" s="334"/>
      <c r="F98" s="355" t="s">
        <v>398</v>
      </c>
      <c r="G98" s="356"/>
      <c r="H98" s="348" t="s">
        <v>609</v>
      </c>
      <c r="I98" s="334"/>
      <c r="J98" s="355" t="s">
        <v>399</v>
      </c>
      <c r="K98" s="356"/>
      <c r="L98" s="355" t="s">
        <v>399</v>
      </c>
      <c r="M98" s="356"/>
      <c r="N98" s="357"/>
    </row>
    <row r="99" spans="1:14">
      <c r="A99" s="286"/>
      <c r="B99" s="291"/>
      <c r="C99" s="334"/>
      <c r="D99" s="291"/>
      <c r="E99" s="334"/>
      <c r="F99" s="291"/>
      <c r="G99" s="291"/>
      <c r="H99" s="291"/>
      <c r="I99" s="334"/>
      <c r="J99" s="291"/>
      <c r="K99" s="291"/>
      <c r="L99" s="291"/>
      <c r="M99" s="291"/>
      <c r="N99" s="357"/>
    </row>
    <row r="100" spans="1:14">
      <c r="A100" s="336" t="s">
        <v>34</v>
      </c>
      <c r="B100" s="334"/>
      <c r="C100" s="334"/>
      <c r="D100" s="308">
        <v>1</v>
      </c>
      <c r="E100" s="308"/>
      <c r="F100" s="295">
        <f>+N86</f>
        <v>3.1058631465668503E-2</v>
      </c>
      <c r="G100" s="286"/>
      <c r="H100" s="308">
        <v>1</v>
      </c>
      <c r="I100" s="308"/>
      <c r="J100" s="295">
        <f>+N88</f>
        <v>6.8488264257627995E-2</v>
      </c>
      <c r="K100" s="286"/>
      <c r="L100" s="295">
        <f>+N85</f>
        <v>9.9546895723296489E-2</v>
      </c>
      <c r="M100" s="337"/>
      <c r="N100" s="337"/>
    </row>
    <row r="101" spans="1:14" ht="13.5" customHeight="1">
      <c r="A101" s="336"/>
      <c r="B101" s="334"/>
      <c r="C101" s="334"/>
      <c r="D101" s="334"/>
      <c r="E101" s="334"/>
      <c r="F101" s="335" t="s">
        <v>248</v>
      </c>
      <c r="G101" s="291"/>
      <c r="H101" s="334"/>
      <c r="I101" s="334"/>
      <c r="J101" s="335" t="s">
        <v>249</v>
      </c>
      <c r="K101" s="291"/>
      <c r="L101" s="335" t="s">
        <v>250</v>
      </c>
      <c r="M101" s="291"/>
      <c r="N101" s="285"/>
    </row>
    <row r="102" spans="1:14" ht="13.5" customHeight="1">
      <c r="A102" s="326" t="s">
        <v>395</v>
      </c>
      <c r="B102" s="334"/>
      <c r="C102" s="334"/>
      <c r="D102" s="295">
        <f>IF('Intersection Tables'!$C$62="No", VLOOKUP($A102,'Intersection Tables'!$B$64:$K$70,MATCH($J$9&amp;", FI",'Intersection Tables'!$B$64:$K$64,0),FALSE),VLOOKUP($A102,'Intersection Tables'!$B$73:$K$79,MATCH($J$9&amp;", FI",'Intersection Tables'!$B$73:$K$73,0),FALSE))</f>
        <v>0</v>
      </c>
      <c r="E102" s="296"/>
      <c r="F102" s="295">
        <f>+D102*$F$100</f>
        <v>0</v>
      </c>
      <c r="G102" s="296"/>
      <c r="H102" s="295">
        <f>IF('Intersection Tables'!$C$62="No", VLOOKUP($A102,'Intersection Tables'!$B$64:$K$70,MATCH($J$9&amp;", PDO",'Intersection Tables'!$B$64:$K$64,0),FALSE),VLOOKUP($A102,'Intersection Tables'!$B$73:$K$79,MATCH($J$9&amp;", PDO",'Intersection Tables'!$B$73:$K$73,0),FALSE))</f>
        <v>1.4999999999999999E-2</v>
      </c>
      <c r="I102" s="296"/>
      <c r="J102" s="295">
        <f>+H102*$J$100</f>
        <v>1.0273239638644198E-3</v>
      </c>
      <c r="K102" s="296"/>
      <c r="L102" s="308">
        <f>+F102+J102</f>
        <v>1.0273239638644198E-3</v>
      </c>
      <c r="M102" s="308"/>
      <c r="N102" s="295"/>
    </row>
    <row r="103" spans="1:14" ht="13.5" customHeight="1">
      <c r="A103" s="333" t="s">
        <v>262</v>
      </c>
      <c r="B103" s="334"/>
      <c r="C103" s="334"/>
      <c r="D103" s="295">
        <f>IF('Intersection Tables'!$C$62="No", VLOOKUP($A103,'Intersection Tables'!$B$64:$K$70,MATCH($J$9&amp;", FI",'Intersection Tables'!$B$64:$K$64,0),FALSE),VLOOKUP($A103,'Intersection Tables'!$B$73:$K$79,MATCH($J$9&amp;", FI",'Intersection Tables'!$B$73:$K$73,0),FALSE))</f>
        <v>0</v>
      </c>
      <c r="E103" s="296"/>
      <c r="F103" s="295">
        <f>+D103*$F$100</f>
        <v>0</v>
      </c>
      <c r="G103" s="296"/>
      <c r="H103" s="295">
        <f>IF('Intersection Tables'!$C$62="No", VLOOKUP($A103,'Intersection Tables'!$B$64:$K$70,MATCH($J$9&amp;", PDO",'Intersection Tables'!$B$64:$K$64,0),FALSE),VLOOKUP($A103,'Intersection Tables'!$B$73:$K$79,MATCH($J$9&amp;", PDO",'Intersection Tables'!$B$73:$K$73,0),FALSE))</f>
        <v>0</v>
      </c>
      <c r="I103" s="296"/>
      <c r="J103" s="295">
        <f>+H103*$J$100</f>
        <v>0</v>
      </c>
      <c r="K103" s="296"/>
      <c r="L103" s="308">
        <f>+F103+J103</f>
        <v>0</v>
      </c>
      <c r="M103" s="308"/>
      <c r="N103" s="295"/>
    </row>
    <row r="104" spans="1:14" ht="13.5" customHeight="1">
      <c r="A104" s="333" t="s">
        <v>263</v>
      </c>
      <c r="B104" s="334"/>
      <c r="C104" s="334"/>
      <c r="D104" s="295">
        <f>IF('Intersection Tables'!$C$62="No", VLOOKUP($A104,'Intersection Tables'!$B$64:$K$70,MATCH($J$9&amp;", FI",'Intersection Tables'!$B$64:$K$64,0),FALSE),VLOOKUP($A104,'Intersection Tables'!$B$73:$K$79,MATCH($J$9&amp;", FI",'Intersection Tables'!$B$73:$K$73,0),FALSE))</f>
        <v>0.56700000000000006</v>
      </c>
      <c r="E104" s="296"/>
      <c r="F104" s="295">
        <f>+D104*$F$100</f>
        <v>1.7610244041034045E-2</v>
      </c>
      <c r="G104" s="296"/>
      <c r="H104" s="295">
        <f>IF('Intersection Tables'!$C$62="No", VLOOKUP($A104,'Intersection Tables'!$B$64:$K$70,MATCH($J$9&amp;", PDO",'Intersection Tables'!$B$64:$K$64,0),FALSE),VLOOKUP($A104,'Intersection Tables'!$B$73:$K$79,MATCH($J$9&amp;", PDO",'Intersection Tables'!$B$73:$K$73,0),FALSE))</f>
        <v>0.83599999999999997</v>
      </c>
      <c r="I104" s="296"/>
      <c r="J104" s="295">
        <f>+H104*$J$100</f>
        <v>5.7256188919377005E-2</v>
      </c>
      <c r="K104" s="296"/>
      <c r="L104" s="308">
        <f>+F104+J104</f>
        <v>7.4866432960411053E-2</v>
      </c>
      <c r="M104" s="308"/>
      <c r="N104" s="295"/>
    </row>
    <row r="105" spans="1:14" ht="13.5" customHeight="1">
      <c r="A105" s="333" t="s">
        <v>264</v>
      </c>
      <c r="B105" s="334"/>
      <c r="C105" s="334"/>
      <c r="D105" s="295">
        <f>IF('Intersection Tables'!$C$62="No", VLOOKUP($A105,'Intersection Tables'!$B$64:$K$70,MATCH($J$9&amp;", FI",'Intersection Tables'!$B$64:$K$64,0),FALSE),VLOOKUP($A105,'Intersection Tables'!$B$73:$K$79,MATCH($J$9&amp;", FI",'Intersection Tables'!$B$73:$K$73,0),FALSE))</f>
        <v>0</v>
      </c>
      <c r="E105" s="296"/>
      <c r="F105" s="295">
        <f>+D105*$F$100</f>
        <v>0</v>
      </c>
      <c r="G105" s="296"/>
      <c r="H105" s="295">
        <f>IF('Intersection Tables'!$C$62="No", VLOOKUP($A105,'Intersection Tables'!$B$64:$K$70,MATCH($J$9&amp;", PDO",'Intersection Tables'!$B$64:$K$64,0),FALSE),VLOOKUP($A105,'Intersection Tables'!$B$73:$K$79,MATCH($J$9&amp;", PDO",'Intersection Tables'!$B$73:$K$73,0),FALSE))</f>
        <v>0</v>
      </c>
      <c r="I105" s="296"/>
      <c r="J105" s="295">
        <f>+H105*$J$100</f>
        <v>0</v>
      </c>
      <c r="K105" s="296"/>
      <c r="L105" s="308">
        <f>+F105+J105</f>
        <v>0</v>
      </c>
      <c r="M105" s="308"/>
      <c r="N105" s="295"/>
    </row>
    <row r="106" spans="1:14">
      <c r="A106" s="333" t="s">
        <v>265</v>
      </c>
      <c r="B106" s="334"/>
      <c r="C106" s="334"/>
      <c r="D106" s="295">
        <f>IF('Intersection Tables'!$C$62="No", VLOOKUP($A106,'Intersection Tables'!$B$64:$K$70,MATCH($J$9&amp;", FI",'Intersection Tables'!$B$64:$K$64,0),FALSE),VLOOKUP($A106,'Intersection Tables'!$B$73:$K$79,MATCH($J$9&amp;", FI",'Intersection Tables'!$B$73:$K$73,0),FALSE))</f>
        <v>0.433</v>
      </c>
      <c r="E106" s="296"/>
      <c r="F106" s="295">
        <f>+D106*$F$100</f>
        <v>1.3448387424634462E-2</v>
      </c>
      <c r="G106" s="296"/>
      <c r="H106" s="295">
        <f>IF('Intersection Tables'!$C$62="No", VLOOKUP($A106,'Intersection Tables'!$B$64:$K$70,MATCH($J$9&amp;", PDO",'Intersection Tables'!$B$64:$K$64,0),FALSE),VLOOKUP($A106,'Intersection Tables'!$B$73:$K$79,MATCH($J$9&amp;", PDO",'Intersection Tables'!$B$73:$K$73,0),FALSE))</f>
        <v>0.14899999999999999</v>
      </c>
      <c r="I106" s="296"/>
      <c r="J106" s="295">
        <f>+H106*$J$100</f>
        <v>1.020475137438657E-2</v>
      </c>
      <c r="K106" s="296"/>
      <c r="L106" s="308">
        <f>+F106+J106</f>
        <v>2.3653138799021034E-2</v>
      </c>
      <c r="M106" s="308"/>
      <c r="N106" s="295"/>
    </row>
    <row r="107" spans="1:14" ht="13.8" thickBot="1">
      <c r="A107" s="303" t="str">
        <f>IF('Intersection Tables'!$C$62="No","Single-vehicle noncollision","--")</f>
        <v>--</v>
      </c>
      <c r="B107" s="304"/>
      <c r="C107" s="304"/>
      <c r="D107" s="305" t="str">
        <f>IF('Intersection Tables'!$C$62="No", VLOOKUP($A107,'Intersection Tables'!$B$64:$K$70,MATCH($J$9&amp;", FI",'Intersection Tables'!$B$64:$K$64,0),FALSE),"--")</f>
        <v>--</v>
      </c>
      <c r="E107" s="306"/>
      <c r="F107" s="305" t="str">
        <f>IF('Intersection Tables'!$C$62="No",+D107*$F$100,"--")</f>
        <v>--</v>
      </c>
      <c r="G107" s="306"/>
      <c r="H107" s="305" t="str">
        <f>IF('Intersection Tables'!$C$62="No", VLOOKUP($A107,'Intersection Tables'!$B$64:$K$70,MATCH($J$9&amp;", PDO",'Intersection Tables'!$B$64:$K$64,0),FALSE),"--")</f>
        <v>--</v>
      </c>
      <c r="I107" s="306"/>
      <c r="J107" s="305" t="str">
        <f>IF('Intersection Tables'!$C$62="No",+H107*$J$100,"--")</f>
        <v>--</v>
      </c>
      <c r="K107" s="306"/>
      <c r="L107" s="307" t="str">
        <f>IF('Intersection Tables'!$C$62="No",+F107+J107,"--")</f>
        <v>--</v>
      </c>
      <c r="M107" s="307"/>
      <c r="N107" s="305"/>
    </row>
    <row r="110" spans="1:14" ht="13.8" thickBot="1"/>
    <row r="111" spans="1:14" ht="14.4" thickTop="1" thickBot="1">
      <c r="A111" s="302" t="s">
        <v>403</v>
      </c>
      <c r="B111" s="302"/>
      <c r="C111" s="302"/>
      <c r="D111" s="302"/>
      <c r="E111" s="302"/>
      <c r="F111" s="302"/>
      <c r="G111" s="302"/>
      <c r="H111" s="302"/>
      <c r="I111" s="302"/>
      <c r="J111" s="302"/>
      <c r="K111" s="302"/>
      <c r="L111" s="302"/>
    </row>
    <row r="112" spans="1:14">
      <c r="A112" s="297" t="s">
        <v>15</v>
      </c>
      <c r="B112" s="298"/>
      <c r="C112" s="298"/>
      <c r="D112" s="287" t="s">
        <v>16</v>
      </c>
      <c r="E112" s="287"/>
      <c r="F112" s="287" t="s">
        <v>17</v>
      </c>
      <c r="G112" s="287"/>
      <c r="H112" s="30" t="s">
        <v>18</v>
      </c>
      <c r="I112" s="287" t="s">
        <v>19</v>
      </c>
      <c r="J112" s="287"/>
      <c r="K112" s="287" t="s">
        <v>20</v>
      </c>
      <c r="L112" s="288"/>
    </row>
    <row r="113" spans="1:15" ht="12.75" customHeight="1">
      <c r="A113" s="299" t="s">
        <v>31</v>
      </c>
      <c r="B113" s="300"/>
      <c r="C113" s="300"/>
      <c r="D113" s="534" t="s">
        <v>384</v>
      </c>
      <c r="E113" s="534"/>
      <c r="F113" s="534" t="s">
        <v>393</v>
      </c>
      <c r="G113" s="534"/>
      <c r="H113" s="289" t="s">
        <v>406</v>
      </c>
      <c r="I113" s="289" t="s">
        <v>408</v>
      </c>
      <c r="J113" s="289"/>
      <c r="K113" s="289" t="s">
        <v>409</v>
      </c>
      <c r="L113" s="533"/>
    </row>
    <row r="114" spans="1:15">
      <c r="A114" s="301"/>
      <c r="B114" s="300"/>
      <c r="C114" s="300"/>
      <c r="D114" s="534"/>
      <c r="E114" s="534"/>
      <c r="F114" s="534"/>
      <c r="G114" s="534"/>
      <c r="H114" s="289"/>
      <c r="I114" s="289"/>
      <c r="J114" s="289"/>
      <c r="K114" s="289"/>
      <c r="L114" s="533"/>
    </row>
    <row r="115" spans="1:15" ht="12.75" customHeight="1">
      <c r="A115" s="301"/>
      <c r="B115" s="300"/>
      <c r="C115" s="300"/>
      <c r="D115" s="348" t="s">
        <v>404</v>
      </c>
      <c r="E115" s="532"/>
      <c r="F115" s="348" t="s">
        <v>405</v>
      </c>
      <c r="G115" s="532"/>
      <c r="H115" s="348" t="s">
        <v>407</v>
      </c>
      <c r="I115" s="348" t="s">
        <v>610</v>
      </c>
      <c r="J115" s="334"/>
      <c r="K115" s="348" t="s">
        <v>820</v>
      </c>
      <c r="L115" s="412"/>
    </row>
    <row r="116" spans="1:15">
      <c r="A116" s="301"/>
      <c r="B116" s="300"/>
      <c r="C116" s="300"/>
      <c r="D116" s="532"/>
      <c r="E116" s="532"/>
      <c r="F116" s="532"/>
      <c r="G116" s="532"/>
      <c r="H116" s="532"/>
      <c r="I116" s="291"/>
      <c r="J116" s="334"/>
      <c r="K116" s="532"/>
      <c r="L116" s="412"/>
    </row>
    <row r="117" spans="1:15">
      <c r="A117" s="292" t="s">
        <v>34</v>
      </c>
      <c r="B117" s="293"/>
      <c r="C117" s="293"/>
      <c r="D117" s="295" t="str">
        <f>IF($J$9="3SG","--",IF($J$9="4SG","--",N53))</f>
        <v>--</v>
      </c>
      <c r="E117" s="286"/>
      <c r="F117" s="295" t="str">
        <f>IF($J$9="3SG","--",IF($J$9="4SG","--",N85))</f>
        <v>--</v>
      </c>
      <c r="G117" s="286"/>
      <c r="H117" s="62" t="str">
        <f>IF($J$9="3SG","--",IF($J$9="4SG","--",(D117+F117)))</f>
        <v>--</v>
      </c>
      <c r="I117" s="295" t="str">
        <f>IF(OR(J9="3ST",J9="4ST"),VLOOKUP(J9,'Intersection Tables'!M68:R69,IF('Intersection Tables'!N65="No",3,5),FALSE),"--")</f>
        <v>--</v>
      </c>
      <c r="J117" s="296"/>
      <c r="K117" s="535" t="str">
        <f>IF(J9="3SG","--",IF(J9="4SG","--",$H$117*$I$117))</f>
        <v>--</v>
      </c>
      <c r="L117" s="536"/>
    </row>
    <row r="118" spans="1:15" ht="13.8" thickBot="1">
      <c r="A118" s="309" t="s">
        <v>133</v>
      </c>
      <c r="B118" s="310"/>
      <c r="C118" s="310"/>
      <c r="D118" s="283" t="s">
        <v>13</v>
      </c>
      <c r="E118" s="332"/>
      <c r="F118" s="283" t="s">
        <v>13</v>
      </c>
      <c r="G118" s="332"/>
      <c r="H118" s="128" t="s">
        <v>13</v>
      </c>
      <c r="I118" s="283" t="s">
        <v>13</v>
      </c>
      <c r="J118" s="332"/>
      <c r="K118" s="541" t="str">
        <f>+K117</f>
        <v>--</v>
      </c>
      <c r="L118" s="542"/>
    </row>
    <row r="121" spans="1:15" ht="13.8" thickBot="1"/>
    <row r="122" spans="1:15" ht="14.4" customHeight="1" thickTop="1" thickBot="1">
      <c r="B122" s="737" t="s">
        <v>410</v>
      </c>
      <c r="C122" s="738"/>
      <c r="D122" s="738"/>
      <c r="E122" s="738"/>
      <c r="F122" s="738"/>
      <c r="G122" s="738"/>
      <c r="H122" s="738"/>
      <c r="I122" s="738"/>
      <c r="J122" s="738"/>
      <c r="K122" s="738"/>
      <c r="L122" s="738"/>
      <c r="M122" s="738"/>
      <c r="N122" s="26"/>
      <c r="O122" s="26"/>
    </row>
    <row r="123" spans="1:15">
      <c r="B123" s="297" t="s">
        <v>15</v>
      </c>
      <c r="C123" s="298"/>
      <c r="D123" s="298"/>
      <c r="E123" s="406" t="s">
        <v>16</v>
      </c>
      <c r="F123" s="298"/>
      <c r="G123" s="298"/>
      <c r="H123" s="406" t="s">
        <v>17</v>
      </c>
      <c r="I123" s="298"/>
      <c r="J123" s="298"/>
      <c r="K123" s="406" t="s">
        <v>18</v>
      </c>
      <c r="L123" s="298"/>
      <c r="M123" s="298"/>
    </row>
    <row r="124" spans="1:15" ht="13.2" customHeight="1">
      <c r="B124" s="617" t="s">
        <v>411</v>
      </c>
      <c r="C124" s="290"/>
      <c r="D124" s="290"/>
      <c r="E124" s="290" t="s">
        <v>412</v>
      </c>
      <c r="F124" s="290"/>
      <c r="G124" s="290"/>
      <c r="H124" s="290" t="s">
        <v>413</v>
      </c>
      <c r="I124" s="290"/>
      <c r="J124" s="290"/>
      <c r="K124" s="348" t="s">
        <v>81</v>
      </c>
      <c r="L124" s="348"/>
      <c r="M124" s="319"/>
    </row>
    <row r="125" spans="1:15" ht="15.6">
      <c r="B125" s="617" t="s">
        <v>414</v>
      </c>
      <c r="C125" s="290"/>
      <c r="D125" s="290"/>
      <c r="E125" s="290" t="s">
        <v>415</v>
      </c>
      <c r="F125" s="290"/>
      <c r="G125" s="290"/>
      <c r="H125" s="290" t="s">
        <v>416</v>
      </c>
      <c r="I125" s="290"/>
      <c r="J125" s="290"/>
      <c r="K125" s="532"/>
      <c r="L125" s="532"/>
      <c r="M125" s="412"/>
    </row>
    <row r="126" spans="1:15">
      <c r="B126" s="617" t="s">
        <v>611</v>
      </c>
      <c r="C126" s="290"/>
      <c r="D126" s="290"/>
      <c r="E126" s="290" t="s">
        <v>612</v>
      </c>
      <c r="F126" s="290"/>
      <c r="G126" s="290"/>
      <c r="H126" s="290" t="s">
        <v>613</v>
      </c>
      <c r="I126" s="290"/>
      <c r="J126" s="290"/>
      <c r="K126" s="290" t="s">
        <v>417</v>
      </c>
      <c r="L126" s="291"/>
      <c r="M126" s="285"/>
    </row>
    <row r="127" spans="1:15" ht="13.8" thickBot="1">
      <c r="B127" s="418">
        <f>IF($J$9="3ST","--",IF($J$9="4ST","--",IF($J$31=0,1,IF($J$31&lt;3,2.78,4.15))))</f>
        <v>2.78</v>
      </c>
      <c r="C127" s="321"/>
      <c r="D127" s="321"/>
      <c r="E127" s="321">
        <f>IF($J$9="3ST","--",IF($J$9="4ST","--",IF($J$32="Present",1.35,1)))</f>
        <v>1.35</v>
      </c>
      <c r="F127" s="321"/>
      <c r="G127" s="321"/>
      <c r="H127" s="321">
        <f>IF(J9="3ST","--",IF(J9="4ST","--",IF(J33=0,1,IF(J33&lt;9,1.12,1.56))))</f>
        <v>1.1200000000000001</v>
      </c>
      <c r="I127" s="321"/>
      <c r="J127" s="321"/>
      <c r="K127" s="736">
        <f>IF(J9="3ST","--",IF(J9="4ST","--",B127*E127*H127))</f>
        <v>4.2033600000000009</v>
      </c>
      <c r="L127" s="736"/>
      <c r="M127" s="415"/>
    </row>
    <row r="130" spans="1:14" ht="13.8" thickBot="1"/>
    <row r="131" spans="1:14" ht="14.4" thickTop="1" thickBot="1">
      <c r="A131" s="302" t="s">
        <v>418</v>
      </c>
      <c r="B131" s="358"/>
      <c r="C131" s="358"/>
      <c r="D131" s="358"/>
      <c r="E131" s="358"/>
      <c r="F131" s="358"/>
      <c r="G131" s="358"/>
      <c r="H131" s="358"/>
      <c r="I131" s="359"/>
      <c r="J131" s="359"/>
      <c r="K131" s="359"/>
      <c r="L131" s="359"/>
      <c r="M131" s="359"/>
      <c r="N131" s="359"/>
    </row>
    <row r="132" spans="1:14">
      <c r="A132" s="297" t="s">
        <v>15</v>
      </c>
      <c r="B132" s="351"/>
      <c r="C132" s="287" t="s">
        <v>16</v>
      </c>
      <c r="D132" s="287"/>
      <c r="E132" s="287"/>
      <c r="F132" s="287"/>
      <c r="G132" s="287"/>
      <c r="H132" s="30" t="s">
        <v>17</v>
      </c>
      <c r="I132" s="287" t="s">
        <v>18</v>
      </c>
      <c r="J132" s="287"/>
      <c r="K132" s="287" t="s">
        <v>19</v>
      </c>
      <c r="L132" s="287"/>
      <c r="M132" s="30" t="s">
        <v>20</v>
      </c>
      <c r="N132" s="67" t="s">
        <v>21</v>
      </c>
    </row>
    <row r="133" spans="1:14" ht="13.2" customHeight="1">
      <c r="A133" s="753" t="s">
        <v>31</v>
      </c>
      <c r="B133" s="754"/>
      <c r="C133" s="397" t="s">
        <v>86</v>
      </c>
      <c r="D133" s="397"/>
      <c r="E133" s="397"/>
      <c r="F133" s="397"/>
      <c r="G133" s="397"/>
      <c r="H133" s="502" t="s">
        <v>684</v>
      </c>
      <c r="I133" s="289" t="s">
        <v>421</v>
      </c>
      <c r="J133" s="289"/>
      <c r="K133" s="289" t="s">
        <v>81</v>
      </c>
      <c r="L133" s="289"/>
      <c r="M133" s="338" t="s">
        <v>750</v>
      </c>
      <c r="N133" s="533" t="s">
        <v>626</v>
      </c>
    </row>
    <row r="134" spans="1:14" ht="13.2" customHeight="1">
      <c r="A134" s="345"/>
      <c r="B134" s="345"/>
      <c r="C134" s="397"/>
      <c r="D134" s="397"/>
      <c r="E134" s="397"/>
      <c r="F134" s="397"/>
      <c r="G134" s="397"/>
      <c r="H134" s="522"/>
      <c r="I134" s="289"/>
      <c r="J134" s="289"/>
      <c r="K134" s="289"/>
      <c r="L134" s="289"/>
      <c r="M134" s="352"/>
      <c r="N134" s="533"/>
    </row>
    <row r="135" spans="1:14" ht="13.2" customHeight="1">
      <c r="A135" s="345"/>
      <c r="B135" s="345"/>
      <c r="C135" s="290" t="s">
        <v>614</v>
      </c>
      <c r="D135" s="290"/>
      <c r="E135" s="290"/>
      <c r="F135" s="290"/>
      <c r="G135" s="290"/>
      <c r="H135" s="758"/>
      <c r="I135" s="348" t="s">
        <v>503</v>
      </c>
      <c r="J135" s="532"/>
      <c r="K135" s="348" t="s">
        <v>422</v>
      </c>
      <c r="L135" s="532"/>
      <c r="M135" s="353"/>
      <c r="N135" s="319" t="s">
        <v>293</v>
      </c>
    </row>
    <row r="136" spans="1:14" ht="13.2" customHeight="1">
      <c r="A136" s="346"/>
      <c r="B136" s="346"/>
      <c r="C136" s="125" t="s">
        <v>87</v>
      </c>
      <c r="D136" s="125" t="s">
        <v>88</v>
      </c>
      <c r="E136" s="125" t="s">
        <v>382</v>
      </c>
      <c r="F136" s="70" t="s">
        <v>419</v>
      </c>
      <c r="G136" s="70" t="s">
        <v>420</v>
      </c>
      <c r="H136" s="148" t="s">
        <v>652</v>
      </c>
      <c r="I136" s="532"/>
      <c r="J136" s="532"/>
      <c r="K136" s="532"/>
      <c r="L136" s="532"/>
      <c r="M136" s="353"/>
      <c r="N136" s="412"/>
    </row>
    <row r="137" spans="1:14">
      <c r="A137" s="336" t="s">
        <v>34</v>
      </c>
      <c r="B137" s="357"/>
      <c r="C137" s="11">
        <f>IF($J$9="3ST","--",IF($J$9="4ST","--",(VLOOKUP($J$9&amp;IF('Intersection Tables'!$D$27="No"," (HSM)"," (Local)"),'Intersection Tables'!$B$30:$H$35,MATCH(C$136,'Intersection Tables'!$B$30:$H$30,0),FALSE))))</f>
        <v>-6.6</v>
      </c>
      <c r="D137" s="11">
        <f>IF($J$9="3ST","--",IF($J$9="4ST","--",(VLOOKUP($J$9&amp;IF('Intersection Tables'!$D$27="No"," (HSM)"," (Local)"),'Intersection Tables'!$B$30:$H$35,MATCH(D$136,'Intersection Tables'!$B$30:$H$30,0),FALSE))))</f>
        <v>0.05</v>
      </c>
      <c r="E137" s="11">
        <f>IF($J$9="3ST","--",IF($J$9="4ST","--",(VLOOKUP($J$9&amp;IF('Intersection Tables'!$D$27="No"," (HSM)"," (Local)"),'Intersection Tables'!$B$30:$H$35,MATCH(E$136,'Intersection Tables'!$B$30:$H$30,0),FALSE))))</f>
        <v>0.24</v>
      </c>
      <c r="F137" s="11">
        <f>IF($J$9="3ST","--",IF($J$9="4ST","--",(VLOOKUP($J$9&amp;IF('Intersection Tables'!$D$27="No"," (HSM)"," (Local)"),'Intersection Tables'!$B$30:$H$35,MATCH(F$136,'Intersection Tables'!$B$30:$H$30,0),FALSE))))</f>
        <v>0.41</v>
      </c>
      <c r="G137" s="11">
        <f>IF($J$9="3ST","--",IF($J$9="4ST","--",(VLOOKUP($J$9&amp;IF('Intersection Tables'!$D$27="No"," (HSM)"," (Local)"),'Intersection Tables'!$B$30:$H$35,MATCH(G$136,'Intersection Tables'!$B$30:$H$30,0),FALSE))))</f>
        <v>0.09</v>
      </c>
      <c r="H137" s="11">
        <f>IF($J$9="3ST","--",IF($J$9="4ST","--",(VLOOKUP($J$9&amp;IF('Intersection Tables'!$D$27="No"," (HSM)"," (Local)"),'Intersection Tables'!$B$30:$H$35,MATCH(H$136,'Intersection Tables'!$B$30:$H$30,0),FALSE))))</f>
        <v>0.52</v>
      </c>
      <c r="I137" s="295">
        <f>IF($J$9="3ST","--",IF($J$9="4ST","--",EXP(+$C137+($D137*LN($J$10+J$11))+(E$137*LN($J$11/$J$10))+(F$137*LN($J$29))+(G$137*$J$30))))</f>
        <v>5.727521278345038E-2</v>
      </c>
      <c r="J137" s="296"/>
      <c r="K137" s="538">
        <f>+$K$127</f>
        <v>4.2033600000000009</v>
      </c>
      <c r="L137" s="756"/>
      <c r="M137" s="11">
        <f>$J$15*VLOOKUP(VLOOKUP($J$12,'Intersection Tables'!$U$29:$V$55,MATCH("Region",'Intersection Tables'!$U$29:$V$29,0),FALSE),'Intersection Tables'!$M$29:$R$34,MATCH($J$13,'Intersection Tables'!$M$29:$R$29,0),FALSE)</f>
        <v>1</v>
      </c>
      <c r="N137" s="185">
        <f>IF($J$9="3ST","--",IF($J$9="4ST","--",(I137*K137*M137)))</f>
        <v>0.24074833840544405</v>
      </c>
    </row>
    <row r="138" spans="1:14" ht="13.8" thickBot="1">
      <c r="A138" s="751" t="s">
        <v>35</v>
      </c>
      <c r="B138" s="752"/>
      <c r="C138" s="135" t="s">
        <v>13</v>
      </c>
      <c r="D138" s="135" t="s">
        <v>13</v>
      </c>
      <c r="E138" s="135" t="s">
        <v>13</v>
      </c>
      <c r="F138" s="135" t="s">
        <v>13</v>
      </c>
      <c r="G138" s="135" t="s">
        <v>13</v>
      </c>
      <c r="H138" s="135" t="s">
        <v>13</v>
      </c>
      <c r="I138" s="755" t="s">
        <v>13</v>
      </c>
      <c r="J138" s="306"/>
      <c r="K138" s="757" t="s">
        <v>13</v>
      </c>
      <c r="L138" s="540"/>
      <c r="M138" s="13">
        <f>$J$15*VLOOKUP(VLOOKUP($J$12,'Intersection Tables'!$U$29:$V$55,MATCH("Region",'Intersection Tables'!$U$29:$V$29,0),FALSE),'Intersection Tables'!$M$29:$R$34,MATCH($J$13,'Intersection Tables'!$M$29:$R$29,0),FALSE)</f>
        <v>1</v>
      </c>
      <c r="N138" s="186">
        <f>N137</f>
        <v>0.24074833840544405</v>
      </c>
    </row>
    <row r="141" spans="1:14" ht="13.8" thickBot="1"/>
    <row r="142" spans="1:14" ht="14.25" customHeight="1" thickTop="1" thickBot="1">
      <c r="A142" s="737" t="s">
        <v>624</v>
      </c>
      <c r="B142" s="737"/>
      <c r="C142" s="737"/>
      <c r="D142" s="737"/>
      <c r="E142" s="737"/>
      <c r="F142" s="737"/>
      <c r="G142" s="737"/>
      <c r="H142" s="737"/>
      <c r="I142" s="737"/>
      <c r="J142" s="737"/>
      <c r="K142" s="737"/>
      <c r="L142" s="737"/>
    </row>
    <row r="143" spans="1:14">
      <c r="A143" s="297" t="s">
        <v>15</v>
      </c>
      <c r="B143" s="298"/>
      <c r="C143" s="298"/>
      <c r="D143" s="287" t="s">
        <v>16</v>
      </c>
      <c r="E143" s="287"/>
      <c r="F143" s="287" t="s">
        <v>17</v>
      </c>
      <c r="G143" s="287"/>
      <c r="H143" s="30" t="s">
        <v>18</v>
      </c>
      <c r="I143" s="287" t="s">
        <v>19</v>
      </c>
      <c r="J143" s="287"/>
      <c r="K143" s="287" t="s">
        <v>20</v>
      </c>
      <c r="L143" s="288"/>
    </row>
    <row r="144" spans="1:14" ht="13.2" customHeight="1">
      <c r="A144" s="299" t="s">
        <v>31</v>
      </c>
      <c r="B144" s="300"/>
      <c r="C144" s="300"/>
      <c r="D144" s="534" t="s">
        <v>384</v>
      </c>
      <c r="E144" s="534"/>
      <c r="F144" s="534" t="s">
        <v>393</v>
      </c>
      <c r="G144" s="534"/>
      <c r="H144" s="289" t="s">
        <v>406</v>
      </c>
      <c r="I144" s="289" t="s">
        <v>423</v>
      </c>
      <c r="J144" s="289"/>
      <c r="K144" s="289" t="s">
        <v>627</v>
      </c>
      <c r="L144" s="533"/>
    </row>
    <row r="145" spans="1:14">
      <c r="A145" s="301"/>
      <c r="B145" s="300"/>
      <c r="C145" s="300"/>
      <c r="D145" s="534"/>
      <c r="E145" s="534"/>
      <c r="F145" s="534"/>
      <c r="G145" s="534"/>
      <c r="H145" s="289"/>
      <c r="I145" s="289"/>
      <c r="J145" s="289"/>
      <c r="K145" s="289"/>
      <c r="L145" s="533"/>
    </row>
    <row r="146" spans="1:14" ht="13.2" customHeight="1">
      <c r="A146" s="301"/>
      <c r="B146" s="300"/>
      <c r="C146" s="300"/>
      <c r="D146" s="348" t="s">
        <v>404</v>
      </c>
      <c r="E146" s="532"/>
      <c r="F146" s="348" t="s">
        <v>405</v>
      </c>
      <c r="G146" s="532"/>
      <c r="H146" s="348" t="s">
        <v>407</v>
      </c>
      <c r="I146" s="348" t="s">
        <v>615</v>
      </c>
      <c r="J146" s="334"/>
      <c r="K146" s="348" t="s">
        <v>820</v>
      </c>
      <c r="L146" s="412"/>
    </row>
    <row r="147" spans="1:14">
      <c r="A147" s="301"/>
      <c r="B147" s="300"/>
      <c r="C147" s="300"/>
      <c r="D147" s="532"/>
      <c r="E147" s="532"/>
      <c r="F147" s="532"/>
      <c r="G147" s="532"/>
      <c r="H147" s="532"/>
      <c r="I147" s="291"/>
      <c r="J147" s="334"/>
      <c r="K147" s="532"/>
      <c r="L147" s="412"/>
    </row>
    <row r="148" spans="1:14">
      <c r="A148" s="292" t="s">
        <v>34</v>
      </c>
      <c r="B148" s="293"/>
      <c r="C148" s="293"/>
      <c r="D148" s="295">
        <f>+$N$53</f>
        <v>1.4897783892375582</v>
      </c>
      <c r="E148" s="286"/>
      <c r="F148" s="308">
        <f>+$N$85</f>
        <v>9.9546895723296489E-2</v>
      </c>
      <c r="G148" s="308"/>
      <c r="H148" s="3">
        <f>+D148+F148</f>
        <v>1.5893252849608548</v>
      </c>
      <c r="I148" s="749">
        <f>VLOOKUP(J9,'Intersection Tables'!M76:R79,IF('Intersection Tables'!N73="No",3,5),FALSE)</f>
        <v>6.0000000000000001E-3</v>
      </c>
      <c r="J148" s="750"/>
      <c r="K148" s="535">
        <f>+$H$148*$I$148</f>
        <v>9.5359517097651295E-3</v>
      </c>
      <c r="L148" s="536"/>
    </row>
    <row r="149" spans="1:14" ht="13.8" thickBot="1">
      <c r="A149" s="309" t="s">
        <v>133</v>
      </c>
      <c r="B149" s="310"/>
      <c r="C149" s="310"/>
      <c r="D149" s="283" t="s">
        <v>13</v>
      </c>
      <c r="E149" s="332"/>
      <c r="F149" s="283" t="s">
        <v>13</v>
      </c>
      <c r="G149" s="332"/>
      <c r="H149" s="128" t="s">
        <v>13</v>
      </c>
      <c r="I149" s="283" t="s">
        <v>13</v>
      </c>
      <c r="J149" s="332"/>
      <c r="K149" s="541">
        <f>+$H$148*$I$148</f>
        <v>9.5359517097651295E-3</v>
      </c>
      <c r="L149" s="542"/>
    </row>
    <row r="152" spans="1:14" ht="13.8" thickBot="1"/>
    <row r="153" spans="1:14" ht="14.4" thickTop="1" thickBot="1">
      <c r="A153" s="302" t="s">
        <v>424</v>
      </c>
      <c r="B153" s="358"/>
      <c r="C153" s="358"/>
      <c r="D153" s="358"/>
      <c r="E153" s="358"/>
      <c r="F153" s="358"/>
      <c r="G153" s="358"/>
      <c r="H153" s="358"/>
      <c r="I153" s="359"/>
      <c r="J153" s="359"/>
      <c r="K153" s="359"/>
      <c r="L153" s="359"/>
      <c r="M153" s="359"/>
      <c r="N153" s="359"/>
    </row>
    <row r="154" spans="1:14">
      <c r="A154" s="513" t="s">
        <v>15</v>
      </c>
      <c r="B154" s="514"/>
      <c r="C154" s="514"/>
      <c r="D154" s="514"/>
      <c r="E154" s="514"/>
      <c r="F154" s="555" t="s">
        <v>16</v>
      </c>
      <c r="G154" s="555"/>
      <c r="H154" s="555"/>
      <c r="I154" s="555" t="s">
        <v>17</v>
      </c>
      <c r="J154" s="555"/>
      <c r="K154" s="555"/>
      <c r="L154" s="555" t="s">
        <v>18</v>
      </c>
      <c r="M154" s="555"/>
      <c r="N154" s="556"/>
    </row>
    <row r="155" spans="1:14" ht="13.2" customHeight="1">
      <c r="A155" s="742" t="s">
        <v>49</v>
      </c>
      <c r="B155" s="743"/>
      <c r="C155" s="743"/>
      <c r="D155" s="743"/>
      <c r="E155" s="744"/>
      <c r="F155" s="564" t="s">
        <v>133</v>
      </c>
      <c r="G155" s="564"/>
      <c r="H155" s="564"/>
      <c r="I155" s="564" t="s">
        <v>134</v>
      </c>
      <c r="J155" s="564"/>
      <c r="K155" s="564"/>
      <c r="L155" s="564" t="s">
        <v>34</v>
      </c>
      <c r="M155" s="564"/>
      <c r="N155" s="565"/>
    </row>
    <row r="156" spans="1:14">
      <c r="A156" s="745"/>
      <c r="B156" s="745"/>
      <c r="C156" s="745"/>
      <c r="D156" s="745"/>
      <c r="E156" s="508"/>
      <c r="F156" s="558" t="s">
        <v>425</v>
      </c>
      <c r="G156" s="558"/>
      <c r="H156" s="558"/>
      <c r="I156" s="558" t="s">
        <v>426</v>
      </c>
      <c r="J156" s="558"/>
      <c r="K156" s="558"/>
      <c r="L156" s="558" t="s">
        <v>427</v>
      </c>
      <c r="M156" s="558"/>
      <c r="N156" s="561"/>
    </row>
    <row r="157" spans="1:14">
      <c r="A157" s="746"/>
      <c r="B157" s="746"/>
      <c r="C157" s="746"/>
      <c r="D157" s="746"/>
      <c r="E157" s="510"/>
      <c r="F157" s="562" t="str">
        <f>IF(RIGHT($J$9,2)="ST","(6) from 2G","(7) from 2I and (6) from 2J")</f>
        <v>(7) from 2I and (6) from 2J</v>
      </c>
      <c r="G157" s="562"/>
      <c r="H157" s="562"/>
      <c r="I157" s="739"/>
      <c r="J157" s="740"/>
      <c r="K157" s="741"/>
      <c r="L157" s="562" t="str">
        <f>IF(RIGHT($J$9,2)="ST","(6) from 2G","(7) from 2I and (6) from 2J")</f>
        <v>(7) from 2I and (6) from 2J</v>
      </c>
      <c r="M157" s="562"/>
      <c r="N157" s="563"/>
    </row>
    <row r="158" spans="1:14">
      <c r="A158" s="544" t="s">
        <v>309</v>
      </c>
      <c r="B158" s="543"/>
      <c r="C158" s="543"/>
      <c r="D158" s="543"/>
      <c r="E158" s="543"/>
      <c r="F158" s="543"/>
      <c r="G158" s="543"/>
      <c r="H158" s="543"/>
      <c r="I158" s="543"/>
      <c r="J158" s="543"/>
      <c r="K158" s="543"/>
      <c r="L158" s="543"/>
      <c r="M158" s="543"/>
      <c r="N158" s="472"/>
    </row>
    <row r="159" spans="1:14">
      <c r="A159" s="292" t="s">
        <v>428</v>
      </c>
      <c r="B159" s="334"/>
      <c r="C159" s="334"/>
      <c r="D159" s="334"/>
      <c r="E159" s="334"/>
      <c r="F159" s="308">
        <f>+F70</f>
        <v>3.4539022176083553E-2</v>
      </c>
      <c r="G159" s="291"/>
      <c r="H159" s="291"/>
      <c r="I159" s="308">
        <f>+J70</f>
        <v>7.6169389484937872E-2</v>
      </c>
      <c r="J159" s="291"/>
      <c r="K159" s="291"/>
      <c r="L159" s="308">
        <f>+L70</f>
        <v>0.11070841166102142</v>
      </c>
      <c r="M159" s="291"/>
      <c r="N159" s="285"/>
    </row>
    <row r="160" spans="1:14">
      <c r="A160" s="292" t="s">
        <v>429</v>
      </c>
      <c r="B160" s="334"/>
      <c r="C160" s="334"/>
      <c r="D160" s="334"/>
      <c r="E160" s="334"/>
      <c r="F160" s="308">
        <f>+F71</f>
        <v>3.0033932327029177E-3</v>
      </c>
      <c r="G160" s="291"/>
      <c r="H160" s="291"/>
      <c r="I160" s="308">
        <f>+J71</f>
        <v>1.9784257009074773E-3</v>
      </c>
      <c r="J160" s="291"/>
      <c r="K160" s="291"/>
      <c r="L160" s="308">
        <f>+L71</f>
        <v>4.9818189336103946E-3</v>
      </c>
      <c r="M160" s="291"/>
      <c r="N160" s="285"/>
    </row>
    <row r="161" spans="1:14">
      <c r="A161" s="292" t="s">
        <v>430</v>
      </c>
      <c r="B161" s="334"/>
      <c r="C161" s="334"/>
      <c r="D161" s="334"/>
      <c r="E161" s="334"/>
      <c r="F161" s="308">
        <f>+F72</f>
        <v>0.11412894284271087</v>
      </c>
      <c r="G161" s="291"/>
      <c r="H161" s="291"/>
      <c r="I161" s="308">
        <f>+J72</f>
        <v>0.22356210420254494</v>
      </c>
      <c r="J161" s="291"/>
      <c r="K161" s="291"/>
      <c r="L161" s="308">
        <f>+L72</f>
        <v>0.33769104704525582</v>
      </c>
      <c r="M161" s="291"/>
      <c r="N161" s="285"/>
    </row>
    <row r="162" spans="1:14">
      <c r="A162" s="292" t="s">
        <v>431</v>
      </c>
      <c r="B162" s="293"/>
      <c r="C162" s="293"/>
      <c r="D162" s="293"/>
      <c r="E162" s="293"/>
      <c r="F162" s="308">
        <f>+F73</f>
        <v>6.0067864654058355E-3</v>
      </c>
      <c r="G162" s="291"/>
      <c r="H162" s="291"/>
      <c r="I162" s="308">
        <f>+J73</f>
        <v>2.7697959812704679E-2</v>
      </c>
      <c r="J162" s="291"/>
      <c r="K162" s="291"/>
      <c r="L162" s="308">
        <f>+L73</f>
        <v>3.3704746278110514E-2</v>
      </c>
      <c r="M162" s="291"/>
      <c r="N162" s="285"/>
    </row>
    <row r="163" spans="1:14">
      <c r="A163" s="292" t="s">
        <v>432</v>
      </c>
      <c r="B163" s="293"/>
      <c r="C163" s="293"/>
      <c r="D163" s="293"/>
      <c r="E163" s="293"/>
      <c r="F163" s="308">
        <f>+F74</f>
        <v>0.34238682852813263</v>
      </c>
      <c r="G163" s="291"/>
      <c r="H163" s="291"/>
      <c r="I163" s="308">
        <f>+J74</f>
        <v>0.65881575840218987</v>
      </c>
      <c r="J163" s="291"/>
      <c r="K163" s="291"/>
      <c r="L163" s="308">
        <f>+L74</f>
        <v>1.0012025869303225</v>
      </c>
      <c r="M163" s="291"/>
      <c r="N163" s="285"/>
    </row>
    <row r="164" spans="1:14" ht="13.8" thickBot="1">
      <c r="A164" s="573" t="s">
        <v>318</v>
      </c>
      <c r="B164" s="558"/>
      <c r="C164" s="558"/>
      <c r="D164" s="558"/>
      <c r="E164" s="558"/>
      <c r="F164" s="566">
        <f>SUM(F159:H163)</f>
        <v>0.50006497324503585</v>
      </c>
      <c r="G164" s="567"/>
      <c r="H164" s="567"/>
      <c r="I164" s="566">
        <f>SUM(I159:K163)</f>
        <v>0.98822363760328491</v>
      </c>
      <c r="J164" s="567"/>
      <c r="K164" s="567"/>
      <c r="L164" s="566">
        <f>SUM(L159:N163)</f>
        <v>1.4882886108483206</v>
      </c>
      <c r="M164" s="567"/>
      <c r="N164" s="574"/>
    </row>
    <row r="165" spans="1:14">
      <c r="A165" s="568" t="s">
        <v>310</v>
      </c>
      <c r="B165" s="569"/>
      <c r="C165" s="569"/>
      <c r="D165" s="569"/>
      <c r="E165" s="569"/>
      <c r="F165" s="569"/>
      <c r="G165" s="569"/>
      <c r="H165" s="569"/>
      <c r="I165" s="569"/>
      <c r="J165" s="569"/>
      <c r="K165" s="569"/>
      <c r="L165" s="569"/>
      <c r="M165" s="569"/>
      <c r="N165" s="570"/>
    </row>
    <row r="166" spans="1:14">
      <c r="A166" s="292" t="s">
        <v>433</v>
      </c>
      <c r="B166" s="293"/>
      <c r="C166" s="293"/>
      <c r="D166" s="293"/>
      <c r="E166" s="293"/>
      <c r="F166" s="308">
        <f t="shared" ref="F166:F171" si="0">+F102</f>
        <v>0</v>
      </c>
      <c r="G166" s="291"/>
      <c r="H166" s="291"/>
      <c r="I166" s="308">
        <f t="shared" ref="I166:I171" si="1">+J102</f>
        <v>1.0273239638644198E-3</v>
      </c>
      <c r="J166" s="291"/>
      <c r="K166" s="291"/>
      <c r="L166" s="308">
        <f t="shared" ref="L166:L171" si="2">+L102</f>
        <v>1.0273239638644198E-3</v>
      </c>
      <c r="M166" s="291"/>
      <c r="N166" s="285"/>
    </row>
    <row r="167" spans="1:14">
      <c r="A167" s="292" t="s">
        <v>434</v>
      </c>
      <c r="B167" s="293"/>
      <c r="C167" s="293"/>
      <c r="D167" s="293"/>
      <c r="E167" s="293"/>
      <c r="F167" s="308">
        <f t="shared" si="0"/>
        <v>0</v>
      </c>
      <c r="G167" s="291"/>
      <c r="H167" s="291"/>
      <c r="I167" s="308">
        <f t="shared" si="1"/>
        <v>0</v>
      </c>
      <c r="J167" s="291"/>
      <c r="K167" s="291"/>
      <c r="L167" s="308">
        <f t="shared" si="2"/>
        <v>0</v>
      </c>
      <c r="M167" s="291"/>
      <c r="N167" s="285"/>
    </row>
    <row r="168" spans="1:14">
      <c r="A168" s="292" t="s">
        <v>435</v>
      </c>
      <c r="B168" s="293"/>
      <c r="C168" s="293"/>
      <c r="D168" s="293"/>
      <c r="E168" s="293"/>
      <c r="F168" s="308">
        <f t="shared" si="0"/>
        <v>1.7610244041034045E-2</v>
      </c>
      <c r="G168" s="291"/>
      <c r="H168" s="291"/>
      <c r="I168" s="308">
        <f t="shared" si="1"/>
        <v>5.7256188919377005E-2</v>
      </c>
      <c r="J168" s="291"/>
      <c r="K168" s="291"/>
      <c r="L168" s="308">
        <f t="shared" si="2"/>
        <v>7.4866432960411053E-2</v>
      </c>
      <c r="M168" s="291"/>
      <c r="N168" s="285"/>
    </row>
    <row r="169" spans="1:14">
      <c r="A169" s="292" t="s">
        <v>436</v>
      </c>
      <c r="B169" s="293"/>
      <c r="C169" s="293"/>
      <c r="D169" s="293"/>
      <c r="E169" s="293"/>
      <c r="F169" s="308">
        <f t="shared" si="0"/>
        <v>0</v>
      </c>
      <c r="G169" s="291"/>
      <c r="H169" s="291"/>
      <c r="I169" s="308">
        <f t="shared" si="1"/>
        <v>0</v>
      </c>
      <c r="J169" s="291"/>
      <c r="K169" s="291"/>
      <c r="L169" s="308">
        <f t="shared" si="2"/>
        <v>0</v>
      </c>
      <c r="M169" s="291"/>
      <c r="N169" s="285"/>
    </row>
    <row r="170" spans="1:14">
      <c r="A170" s="292" t="s">
        <v>437</v>
      </c>
      <c r="B170" s="293"/>
      <c r="C170" s="293"/>
      <c r="D170" s="293"/>
      <c r="E170" s="293"/>
      <c r="F170" s="308">
        <f t="shared" si="0"/>
        <v>1.3448387424634462E-2</v>
      </c>
      <c r="G170" s="291"/>
      <c r="H170" s="291"/>
      <c r="I170" s="308">
        <f t="shared" si="1"/>
        <v>1.020475137438657E-2</v>
      </c>
      <c r="J170" s="291"/>
      <c r="K170" s="291"/>
      <c r="L170" s="308">
        <f t="shared" si="2"/>
        <v>2.3653138799021034E-2</v>
      </c>
      <c r="M170" s="291"/>
      <c r="N170" s="285"/>
    </row>
    <row r="171" spans="1:14">
      <c r="A171" s="292" t="s">
        <v>438</v>
      </c>
      <c r="B171" s="293"/>
      <c r="C171" s="293"/>
      <c r="D171" s="293"/>
      <c r="E171" s="293"/>
      <c r="F171" s="308" t="str">
        <f t="shared" si="0"/>
        <v>--</v>
      </c>
      <c r="G171" s="291"/>
      <c r="H171" s="291"/>
      <c r="I171" s="308" t="str">
        <f t="shared" si="1"/>
        <v>--</v>
      </c>
      <c r="J171" s="291"/>
      <c r="K171" s="291"/>
      <c r="L171" s="308" t="str">
        <f t="shared" si="2"/>
        <v>--</v>
      </c>
      <c r="M171" s="291"/>
      <c r="N171" s="285"/>
    </row>
    <row r="172" spans="1:14">
      <c r="A172" s="292" t="s">
        <v>439</v>
      </c>
      <c r="B172" s="293"/>
      <c r="C172" s="293"/>
      <c r="D172" s="293"/>
      <c r="E172" s="293"/>
      <c r="F172" s="308">
        <f>IF(J9="3ST",K118,IF(J9="4ST",K118,N138))</f>
        <v>0.24074833840544405</v>
      </c>
      <c r="G172" s="291"/>
      <c r="H172" s="291"/>
      <c r="I172" s="308">
        <v>0</v>
      </c>
      <c r="J172" s="308"/>
      <c r="K172" s="308"/>
      <c r="L172" s="308">
        <f>+F172+I172</f>
        <v>0.24074833840544405</v>
      </c>
      <c r="M172" s="291"/>
      <c r="N172" s="285"/>
    </row>
    <row r="173" spans="1:14">
      <c r="A173" s="292" t="s">
        <v>440</v>
      </c>
      <c r="B173" s="293"/>
      <c r="C173" s="293"/>
      <c r="D173" s="293"/>
      <c r="E173" s="293"/>
      <c r="F173" s="308">
        <f>+K149</f>
        <v>9.5359517097651295E-3</v>
      </c>
      <c r="G173" s="291"/>
      <c r="H173" s="291"/>
      <c r="I173" s="308">
        <v>0</v>
      </c>
      <c r="J173" s="308"/>
      <c r="K173" s="308"/>
      <c r="L173" s="308">
        <f>+F173+I173</f>
        <v>9.5359517097651295E-3</v>
      </c>
      <c r="M173" s="291"/>
      <c r="N173" s="285"/>
    </row>
    <row r="174" spans="1:14" ht="13.8" thickBot="1">
      <c r="A174" s="573" t="s">
        <v>318</v>
      </c>
      <c r="B174" s="558"/>
      <c r="C174" s="558"/>
      <c r="D174" s="558"/>
      <c r="E174" s="558"/>
      <c r="F174" s="566">
        <f>SUM(F166:H173)</f>
        <v>0.28134292158087765</v>
      </c>
      <c r="G174" s="567"/>
      <c r="H174" s="567"/>
      <c r="I174" s="566">
        <f>SUM(I166:K173)</f>
        <v>6.8488264257627995E-2</v>
      </c>
      <c r="J174" s="567"/>
      <c r="K174" s="567"/>
      <c r="L174" s="566">
        <f>SUM(L166:N173)</f>
        <v>0.34983118583850564</v>
      </c>
      <c r="M174" s="567"/>
      <c r="N174" s="574"/>
    </row>
    <row r="175" spans="1:14" ht="13.8" thickBot="1">
      <c r="A175" s="571" t="s">
        <v>34</v>
      </c>
      <c r="B175" s="572"/>
      <c r="C175" s="572"/>
      <c r="D175" s="572"/>
      <c r="E175" s="572"/>
      <c r="F175" s="575">
        <f>+F164+F174</f>
        <v>0.78140789482591355</v>
      </c>
      <c r="G175" s="576"/>
      <c r="H175" s="576"/>
      <c r="I175" s="575">
        <f>+I164+I174</f>
        <v>1.056711901860913</v>
      </c>
      <c r="J175" s="576"/>
      <c r="K175" s="576"/>
      <c r="L175" s="575">
        <f>+L164+L174</f>
        <v>1.8381197966868263</v>
      </c>
      <c r="M175" s="576"/>
      <c r="N175" s="577"/>
    </row>
    <row r="178" spans="5:11" ht="13.8" thickBot="1"/>
    <row r="179" spans="5:11" ht="14.4" thickTop="1" thickBot="1">
      <c r="E179" s="595" t="s">
        <v>441</v>
      </c>
      <c r="F179" s="595"/>
      <c r="G179" s="595"/>
      <c r="H179" s="595"/>
      <c r="I179" s="595"/>
      <c r="J179" s="595"/>
      <c r="K179" s="595"/>
    </row>
    <row r="180" spans="5:11">
      <c r="E180" s="406" t="s">
        <v>15</v>
      </c>
      <c r="F180" s="287"/>
      <c r="G180" s="287"/>
      <c r="H180" s="287" t="s">
        <v>16</v>
      </c>
      <c r="I180" s="287"/>
      <c r="J180" s="287"/>
      <c r="K180" s="288"/>
    </row>
    <row r="181" spans="5:11" ht="13.2" customHeight="1">
      <c r="E181" s="299" t="s">
        <v>42</v>
      </c>
      <c r="F181" s="300"/>
      <c r="G181" s="300"/>
      <c r="H181" s="289" t="s">
        <v>442</v>
      </c>
      <c r="I181" s="289"/>
      <c r="J181" s="289"/>
      <c r="K181" s="533"/>
    </row>
    <row r="182" spans="5:11">
      <c r="E182" s="301"/>
      <c r="F182" s="300"/>
      <c r="G182" s="300"/>
      <c r="H182" s="289"/>
      <c r="I182" s="289"/>
      <c r="J182" s="289"/>
      <c r="K182" s="533"/>
    </row>
    <row r="183" spans="5:11">
      <c r="E183" s="301"/>
      <c r="F183" s="300"/>
      <c r="G183" s="300"/>
      <c r="H183" s="532"/>
      <c r="I183" s="532"/>
      <c r="J183" s="532"/>
      <c r="K183" s="412"/>
    </row>
    <row r="184" spans="5:11">
      <c r="E184" s="301"/>
      <c r="F184" s="300"/>
      <c r="G184" s="300"/>
      <c r="H184" s="290" t="s">
        <v>443</v>
      </c>
      <c r="I184" s="290"/>
      <c r="J184" s="290"/>
      <c r="K184" s="438"/>
    </row>
    <row r="185" spans="5:11">
      <c r="E185" s="292" t="s">
        <v>34</v>
      </c>
      <c r="F185" s="293"/>
      <c r="G185" s="293"/>
      <c r="H185" s="311">
        <f>+L175</f>
        <v>1.8381197966868263</v>
      </c>
      <c r="I185" s="311"/>
      <c r="J185" s="311"/>
      <c r="K185" s="748"/>
    </row>
    <row r="186" spans="5:11">
      <c r="E186" s="292" t="s">
        <v>133</v>
      </c>
      <c r="F186" s="293"/>
      <c r="G186" s="293"/>
      <c r="H186" s="311">
        <f>+F175</f>
        <v>0.78140789482591355</v>
      </c>
      <c r="I186" s="311"/>
      <c r="J186" s="311"/>
      <c r="K186" s="748"/>
    </row>
    <row r="187" spans="5:11" ht="13.8" thickBot="1">
      <c r="E187" s="309" t="s">
        <v>134</v>
      </c>
      <c r="F187" s="310"/>
      <c r="G187" s="310"/>
      <c r="H187" s="312">
        <f>+I175</f>
        <v>1.056711901860913</v>
      </c>
      <c r="I187" s="312"/>
      <c r="J187" s="312"/>
      <c r="K187" s="747"/>
    </row>
  </sheetData>
  <sheetProtection sheet="1" objects="1" scenarios="1"/>
  <mergeCells count="546">
    <mergeCell ref="A6:C6"/>
    <mergeCell ref="E6:G6"/>
    <mergeCell ref="H6:J6"/>
    <mergeCell ref="K6:N6"/>
    <mergeCell ref="A7:C7"/>
    <mergeCell ref="H11:I11"/>
    <mergeCell ref="J11:N11"/>
    <mergeCell ref="A2:N2"/>
    <mergeCell ref="A3:G3"/>
    <mergeCell ref="H3:N3"/>
    <mergeCell ref="K7:N7"/>
    <mergeCell ref="A4:C4"/>
    <mergeCell ref="E4:G4"/>
    <mergeCell ref="H4:J4"/>
    <mergeCell ref="K4:N4"/>
    <mergeCell ref="A5:C5"/>
    <mergeCell ref="E5:G5"/>
    <mergeCell ref="H5:J5"/>
    <mergeCell ref="K5:N5"/>
    <mergeCell ref="A10:C10"/>
    <mergeCell ref="D10:D11"/>
    <mergeCell ref="A11:C11"/>
    <mergeCell ref="A14:G14"/>
    <mergeCell ref="H14:I14"/>
    <mergeCell ref="J14:N14"/>
    <mergeCell ref="J12:N12"/>
    <mergeCell ref="E7:G7"/>
    <mergeCell ref="H7:J7"/>
    <mergeCell ref="A9:G9"/>
    <mergeCell ref="H9:I9"/>
    <mergeCell ref="J9:N9"/>
    <mergeCell ref="H10:I10"/>
    <mergeCell ref="J10:N10"/>
    <mergeCell ref="H12:I12"/>
    <mergeCell ref="A12:G12"/>
    <mergeCell ref="A13:G13"/>
    <mergeCell ref="H13:I13"/>
    <mergeCell ref="J13:N13"/>
    <mergeCell ref="A8:G8"/>
    <mergeCell ref="H8:I8"/>
    <mergeCell ref="J8:N8"/>
    <mergeCell ref="A16:G16"/>
    <mergeCell ref="H16:I16"/>
    <mergeCell ref="J16:N16"/>
    <mergeCell ref="A17:G17"/>
    <mergeCell ref="H17:I17"/>
    <mergeCell ref="J17:N17"/>
    <mergeCell ref="A15:G15"/>
    <mergeCell ref="H15:I15"/>
    <mergeCell ref="J15:N15"/>
    <mergeCell ref="A20:G20"/>
    <mergeCell ref="H20:I20"/>
    <mergeCell ref="J20:N20"/>
    <mergeCell ref="A21:G21"/>
    <mergeCell ref="H21:I21"/>
    <mergeCell ref="J21:N21"/>
    <mergeCell ref="A18:G18"/>
    <mergeCell ref="H18:I18"/>
    <mergeCell ref="J18:N18"/>
    <mergeCell ref="A19:G19"/>
    <mergeCell ref="H19:I19"/>
    <mergeCell ref="J19:N19"/>
    <mergeCell ref="H24:I24"/>
    <mergeCell ref="J24:N24"/>
    <mergeCell ref="A22:G22"/>
    <mergeCell ref="H22:I22"/>
    <mergeCell ref="J22:N22"/>
    <mergeCell ref="A23:G23"/>
    <mergeCell ref="H23:I23"/>
    <mergeCell ref="J23:N23"/>
    <mergeCell ref="A24:G24"/>
    <mergeCell ref="A27:G27"/>
    <mergeCell ref="H27:I27"/>
    <mergeCell ref="J27:N27"/>
    <mergeCell ref="A25:G25"/>
    <mergeCell ref="H25:I25"/>
    <mergeCell ref="J25:N25"/>
    <mergeCell ref="A26:G26"/>
    <mergeCell ref="H26:I26"/>
    <mergeCell ref="J26:N26"/>
    <mergeCell ref="A30:G30"/>
    <mergeCell ref="H30:I30"/>
    <mergeCell ref="J30:N30"/>
    <mergeCell ref="A31:G31"/>
    <mergeCell ref="H31:I31"/>
    <mergeCell ref="J31:N31"/>
    <mergeCell ref="A28:G28"/>
    <mergeCell ref="H28:I28"/>
    <mergeCell ref="J28:N28"/>
    <mergeCell ref="A29:G29"/>
    <mergeCell ref="H29:I29"/>
    <mergeCell ref="J29:N29"/>
    <mergeCell ref="M38:N38"/>
    <mergeCell ref="A37:N37"/>
    <mergeCell ref="A32:G32"/>
    <mergeCell ref="H32:I32"/>
    <mergeCell ref="J32:N32"/>
    <mergeCell ref="A33:G33"/>
    <mergeCell ref="H33:I33"/>
    <mergeCell ref="J33:N33"/>
    <mergeCell ref="A38:B38"/>
    <mergeCell ref="C38:D38"/>
    <mergeCell ref="E38:F38"/>
    <mergeCell ref="G38:H38"/>
    <mergeCell ref="I38:J38"/>
    <mergeCell ref="K38:L38"/>
    <mergeCell ref="M42:N42"/>
    <mergeCell ref="M39:N40"/>
    <mergeCell ref="A41:B41"/>
    <mergeCell ref="C41:D41"/>
    <mergeCell ref="E41:F41"/>
    <mergeCell ref="G41:H41"/>
    <mergeCell ref="I41:J41"/>
    <mergeCell ref="K41:L41"/>
    <mergeCell ref="M41:N41"/>
    <mergeCell ref="A39:B40"/>
    <mergeCell ref="C39:D40"/>
    <mergeCell ref="E39:F40"/>
    <mergeCell ref="G39:H40"/>
    <mergeCell ref="I39:J40"/>
    <mergeCell ref="K39:L40"/>
    <mergeCell ref="A42:B42"/>
    <mergeCell ref="C42:D42"/>
    <mergeCell ref="E42:F42"/>
    <mergeCell ref="G42:H42"/>
    <mergeCell ref="I42:J42"/>
    <mergeCell ref="K42:L42"/>
    <mergeCell ref="M43:N43"/>
    <mergeCell ref="K43:L43"/>
    <mergeCell ref="K51:K52"/>
    <mergeCell ref="L51:L52"/>
    <mergeCell ref="N51:N52"/>
    <mergeCell ref="A45:B45"/>
    <mergeCell ref="A43:B43"/>
    <mergeCell ref="C43:D43"/>
    <mergeCell ref="E43:F43"/>
    <mergeCell ref="G43:H43"/>
    <mergeCell ref="I43:J43"/>
    <mergeCell ref="K49:K50"/>
    <mergeCell ref="A47:N47"/>
    <mergeCell ref="A48:B48"/>
    <mergeCell ref="C48:E48"/>
    <mergeCell ref="F48:G48"/>
    <mergeCell ref="I48:J48"/>
    <mergeCell ref="L49:L50"/>
    <mergeCell ref="M49:M52"/>
    <mergeCell ref="N49:N50"/>
    <mergeCell ref="C51:E51"/>
    <mergeCell ref="A53:B53"/>
    <mergeCell ref="F53:G53"/>
    <mergeCell ref="I53:J53"/>
    <mergeCell ref="A49:B52"/>
    <mergeCell ref="C49:E50"/>
    <mergeCell ref="F49:G50"/>
    <mergeCell ref="H49:H50"/>
    <mergeCell ref="H51:H52"/>
    <mergeCell ref="I49:J52"/>
    <mergeCell ref="F51:G51"/>
    <mergeCell ref="F52:G52"/>
    <mergeCell ref="I54:J54"/>
    <mergeCell ref="K54:K55"/>
    <mergeCell ref="L54:L55"/>
    <mergeCell ref="M54:M55"/>
    <mergeCell ref="N54:N55"/>
    <mergeCell ref="I55:J55"/>
    <mergeCell ref="A54:B55"/>
    <mergeCell ref="C54:C55"/>
    <mergeCell ref="D54:D55"/>
    <mergeCell ref="E54:E55"/>
    <mergeCell ref="F54:G55"/>
    <mergeCell ref="H54:H55"/>
    <mergeCell ref="A61:N61"/>
    <mergeCell ref="A62:C62"/>
    <mergeCell ref="D62:E62"/>
    <mergeCell ref="F62:G62"/>
    <mergeCell ref="H62:I62"/>
    <mergeCell ref="J62:K62"/>
    <mergeCell ref="L62:N62"/>
    <mergeCell ref="I56:J56"/>
    <mergeCell ref="K56:K57"/>
    <mergeCell ref="L56:L57"/>
    <mergeCell ref="M56:M57"/>
    <mergeCell ref="N56:N57"/>
    <mergeCell ref="I57:J57"/>
    <mergeCell ref="A56:B57"/>
    <mergeCell ref="C56:C57"/>
    <mergeCell ref="D56:D57"/>
    <mergeCell ref="E56:E57"/>
    <mergeCell ref="F56:G57"/>
    <mergeCell ref="H56:H57"/>
    <mergeCell ref="D66:E67"/>
    <mergeCell ref="F66:G67"/>
    <mergeCell ref="H66:I67"/>
    <mergeCell ref="J66:K67"/>
    <mergeCell ref="L66:N67"/>
    <mergeCell ref="A63:C67"/>
    <mergeCell ref="D63:E65"/>
    <mergeCell ref="F63:G65"/>
    <mergeCell ref="H63:I65"/>
    <mergeCell ref="J63:K65"/>
    <mergeCell ref="L63:N65"/>
    <mergeCell ref="L68:N68"/>
    <mergeCell ref="J69:K69"/>
    <mergeCell ref="L69:N69"/>
    <mergeCell ref="F70:G70"/>
    <mergeCell ref="H70:I70"/>
    <mergeCell ref="J70:K70"/>
    <mergeCell ref="L70:N70"/>
    <mergeCell ref="A70:C70"/>
    <mergeCell ref="A68:C68"/>
    <mergeCell ref="D68:E68"/>
    <mergeCell ref="F68:G68"/>
    <mergeCell ref="H68:I68"/>
    <mergeCell ref="J68:K68"/>
    <mergeCell ref="A69:C69"/>
    <mergeCell ref="D69:E69"/>
    <mergeCell ref="F69:G69"/>
    <mergeCell ref="H69:I69"/>
    <mergeCell ref="L72:N72"/>
    <mergeCell ref="A73:C73"/>
    <mergeCell ref="D73:E73"/>
    <mergeCell ref="F73:G73"/>
    <mergeCell ref="H73:I73"/>
    <mergeCell ref="J73:K73"/>
    <mergeCell ref="L73:N73"/>
    <mergeCell ref="D70:E70"/>
    <mergeCell ref="A72:C72"/>
    <mergeCell ref="D72:E72"/>
    <mergeCell ref="F72:G72"/>
    <mergeCell ref="H72:I72"/>
    <mergeCell ref="J72:K72"/>
    <mergeCell ref="A71:C71"/>
    <mergeCell ref="D71:E71"/>
    <mergeCell ref="F71:G71"/>
    <mergeCell ref="H71:I71"/>
    <mergeCell ref="J71:K71"/>
    <mergeCell ref="L71:N71"/>
    <mergeCell ref="A79:B79"/>
    <mergeCell ref="C79:E79"/>
    <mergeCell ref="F79:G79"/>
    <mergeCell ref="I79:J79"/>
    <mergeCell ref="D74:E74"/>
    <mergeCell ref="F74:G74"/>
    <mergeCell ref="H74:I74"/>
    <mergeCell ref="J74:K74"/>
    <mergeCell ref="A74:C74"/>
    <mergeCell ref="A78:N78"/>
    <mergeCell ref="L74:N74"/>
    <mergeCell ref="A85:B85"/>
    <mergeCell ref="F85:G85"/>
    <mergeCell ref="I85:J85"/>
    <mergeCell ref="A80:B84"/>
    <mergeCell ref="L80:L81"/>
    <mergeCell ref="M80:M83"/>
    <mergeCell ref="I80:J83"/>
    <mergeCell ref="K80:K81"/>
    <mergeCell ref="N80:N81"/>
    <mergeCell ref="H82:H84"/>
    <mergeCell ref="K82:K83"/>
    <mergeCell ref="L82:L83"/>
    <mergeCell ref="N82:N83"/>
    <mergeCell ref="C80:E81"/>
    <mergeCell ref="F80:G81"/>
    <mergeCell ref="H80:H81"/>
    <mergeCell ref="F84:G84"/>
    <mergeCell ref="C82:E83"/>
    <mergeCell ref="F82:G83"/>
    <mergeCell ref="I87:J87"/>
    <mergeCell ref="I86:J86"/>
    <mergeCell ref="K86:K87"/>
    <mergeCell ref="L86:L87"/>
    <mergeCell ref="M86:M87"/>
    <mergeCell ref="N86:N87"/>
    <mergeCell ref="A86:B87"/>
    <mergeCell ref="C86:C87"/>
    <mergeCell ref="D86:D87"/>
    <mergeCell ref="E86:E87"/>
    <mergeCell ref="F86:G87"/>
    <mergeCell ref="H86:H87"/>
    <mergeCell ref="A93:N93"/>
    <mergeCell ref="A94:C94"/>
    <mergeCell ref="D94:E94"/>
    <mergeCell ref="F94:G94"/>
    <mergeCell ref="H94:I94"/>
    <mergeCell ref="J94:K94"/>
    <mergeCell ref="L94:N94"/>
    <mergeCell ref="I89:J89"/>
    <mergeCell ref="I88:J88"/>
    <mergeCell ref="K88:K89"/>
    <mergeCell ref="L88:L89"/>
    <mergeCell ref="M88:M89"/>
    <mergeCell ref="N88:N89"/>
    <mergeCell ref="A88:B89"/>
    <mergeCell ref="C88:C89"/>
    <mergeCell ref="D88:D89"/>
    <mergeCell ref="E88:E89"/>
    <mergeCell ref="F88:G89"/>
    <mergeCell ref="H88:H89"/>
    <mergeCell ref="H100:I100"/>
    <mergeCell ref="J100:K100"/>
    <mergeCell ref="L100:N100"/>
    <mergeCell ref="H95:I97"/>
    <mergeCell ref="J95:K97"/>
    <mergeCell ref="L95:N97"/>
    <mergeCell ref="F98:G99"/>
    <mergeCell ref="H98:I99"/>
    <mergeCell ref="J98:K99"/>
    <mergeCell ref="L98:N99"/>
    <mergeCell ref="A95:C99"/>
    <mergeCell ref="D95:E97"/>
    <mergeCell ref="F95:G97"/>
    <mergeCell ref="A101:C101"/>
    <mergeCell ref="D101:E101"/>
    <mergeCell ref="F101:G101"/>
    <mergeCell ref="A100:C100"/>
    <mergeCell ref="D100:E100"/>
    <mergeCell ref="F100:G100"/>
    <mergeCell ref="D98:E99"/>
    <mergeCell ref="H101:I101"/>
    <mergeCell ref="J101:K101"/>
    <mergeCell ref="L101:N101"/>
    <mergeCell ref="A102:C102"/>
    <mergeCell ref="D102:E102"/>
    <mergeCell ref="F102:G102"/>
    <mergeCell ref="H102:I102"/>
    <mergeCell ref="J102:K102"/>
    <mergeCell ref="L102:N102"/>
    <mergeCell ref="A104:C104"/>
    <mergeCell ref="D104:E104"/>
    <mergeCell ref="F104:G104"/>
    <mergeCell ref="H104:I104"/>
    <mergeCell ref="J104:K104"/>
    <mergeCell ref="L104:N104"/>
    <mergeCell ref="A103:C103"/>
    <mergeCell ref="D103:E103"/>
    <mergeCell ref="F103:G103"/>
    <mergeCell ref="H103:I103"/>
    <mergeCell ref="J103:K103"/>
    <mergeCell ref="L103:N103"/>
    <mergeCell ref="A106:C106"/>
    <mergeCell ref="D106:E106"/>
    <mergeCell ref="F106:G106"/>
    <mergeCell ref="H106:I106"/>
    <mergeCell ref="J106:K106"/>
    <mergeCell ref="L106:N106"/>
    <mergeCell ref="A105:C105"/>
    <mergeCell ref="D105:E105"/>
    <mergeCell ref="F105:G105"/>
    <mergeCell ref="H105:I105"/>
    <mergeCell ref="J105:K105"/>
    <mergeCell ref="L105:N105"/>
    <mergeCell ref="A112:C112"/>
    <mergeCell ref="D112:E112"/>
    <mergeCell ref="F112:G112"/>
    <mergeCell ref="I112:J112"/>
    <mergeCell ref="K112:L112"/>
    <mergeCell ref="A107:C107"/>
    <mergeCell ref="D107:E107"/>
    <mergeCell ref="F107:G107"/>
    <mergeCell ref="H107:I107"/>
    <mergeCell ref="J107:K107"/>
    <mergeCell ref="L107:N107"/>
    <mergeCell ref="A111:L111"/>
    <mergeCell ref="A117:C117"/>
    <mergeCell ref="D117:E117"/>
    <mergeCell ref="F117:G117"/>
    <mergeCell ref="I117:J117"/>
    <mergeCell ref="K117:L117"/>
    <mergeCell ref="K113:L114"/>
    <mergeCell ref="D115:E116"/>
    <mergeCell ref="F115:G116"/>
    <mergeCell ref="H115:H116"/>
    <mergeCell ref="I115:J116"/>
    <mergeCell ref="K115:L116"/>
    <mergeCell ref="A113:C116"/>
    <mergeCell ref="D113:E114"/>
    <mergeCell ref="F113:G114"/>
    <mergeCell ref="H113:H114"/>
    <mergeCell ref="I113:J114"/>
    <mergeCell ref="E123:G123"/>
    <mergeCell ref="H123:J123"/>
    <mergeCell ref="K123:M123"/>
    <mergeCell ref="B124:D124"/>
    <mergeCell ref="E124:G124"/>
    <mergeCell ref="H124:J124"/>
    <mergeCell ref="K124:M125"/>
    <mergeCell ref="B125:D125"/>
    <mergeCell ref="A118:C118"/>
    <mergeCell ref="D118:E118"/>
    <mergeCell ref="F118:G118"/>
    <mergeCell ref="I118:J118"/>
    <mergeCell ref="K118:L118"/>
    <mergeCell ref="E125:G125"/>
    <mergeCell ref="H125:J125"/>
    <mergeCell ref="A137:B137"/>
    <mergeCell ref="I137:J137"/>
    <mergeCell ref="K137:L137"/>
    <mergeCell ref="A133:B136"/>
    <mergeCell ref="C133:G134"/>
    <mergeCell ref="I133:J134"/>
    <mergeCell ref="K133:L134"/>
    <mergeCell ref="M133:M136"/>
    <mergeCell ref="B127:D127"/>
    <mergeCell ref="E127:G127"/>
    <mergeCell ref="H127:J127"/>
    <mergeCell ref="K127:M127"/>
    <mergeCell ref="A131:N131"/>
    <mergeCell ref="A132:B132"/>
    <mergeCell ref="C132:G132"/>
    <mergeCell ref="I132:J132"/>
    <mergeCell ref="K132:L132"/>
    <mergeCell ref="H133:H135"/>
    <mergeCell ref="N133:N134"/>
    <mergeCell ref="C135:G135"/>
    <mergeCell ref="I135:J136"/>
    <mergeCell ref="K135:L136"/>
    <mergeCell ref="N135:N136"/>
    <mergeCell ref="A138:B138"/>
    <mergeCell ref="I138:J138"/>
    <mergeCell ref="K138:L138"/>
    <mergeCell ref="A143:C143"/>
    <mergeCell ref="D143:E143"/>
    <mergeCell ref="F143:G143"/>
    <mergeCell ref="I143:J143"/>
    <mergeCell ref="K143:L143"/>
    <mergeCell ref="A142:L142"/>
    <mergeCell ref="K144:L145"/>
    <mergeCell ref="D146:E147"/>
    <mergeCell ref="F146:G147"/>
    <mergeCell ref="H146:H147"/>
    <mergeCell ref="I146:J147"/>
    <mergeCell ref="K146:L147"/>
    <mergeCell ref="A144:C147"/>
    <mergeCell ref="D144:E145"/>
    <mergeCell ref="F144:G145"/>
    <mergeCell ref="H144:H145"/>
    <mergeCell ref="I144:J145"/>
    <mergeCell ref="A149:C149"/>
    <mergeCell ref="D149:E149"/>
    <mergeCell ref="F149:G149"/>
    <mergeCell ref="I149:J149"/>
    <mergeCell ref="K149:L149"/>
    <mergeCell ref="A148:C148"/>
    <mergeCell ref="D148:E148"/>
    <mergeCell ref="F148:G148"/>
    <mergeCell ref="I148:J148"/>
    <mergeCell ref="K148:L148"/>
    <mergeCell ref="A153:N153"/>
    <mergeCell ref="A154:E154"/>
    <mergeCell ref="F154:H154"/>
    <mergeCell ref="I154:K154"/>
    <mergeCell ref="L154:N154"/>
    <mergeCell ref="A155:E157"/>
    <mergeCell ref="F155:H155"/>
    <mergeCell ref="I155:K155"/>
    <mergeCell ref="L155:N155"/>
    <mergeCell ref="F156:H156"/>
    <mergeCell ref="A159:E159"/>
    <mergeCell ref="F159:H159"/>
    <mergeCell ref="I159:K159"/>
    <mergeCell ref="L159:N159"/>
    <mergeCell ref="A160:E160"/>
    <mergeCell ref="F160:H160"/>
    <mergeCell ref="I160:K160"/>
    <mergeCell ref="L160:N160"/>
    <mergeCell ref="I156:K156"/>
    <mergeCell ref="L156:N156"/>
    <mergeCell ref="F157:H157"/>
    <mergeCell ref="I157:K157"/>
    <mergeCell ref="L157:N157"/>
    <mergeCell ref="A158:N158"/>
    <mergeCell ref="A163:E163"/>
    <mergeCell ref="F163:H163"/>
    <mergeCell ref="I163:K163"/>
    <mergeCell ref="L163:N163"/>
    <mergeCell ref="A164:E164"/>
    <mergeCell ref="F164:H164"/>
    <mergeCell ref="I164:K164"/>
    <mergeCell ref="L164:N164"/>
    <mergeCell ref="A161:E161"/>
    <mergeCell ref="F161:H161"/>
    <mergeCell ref="I161:K161"/>
    <mergeCell ref="L161:N161"/>
    <mergeCell ref="A162:E162"/>
    <mergeCell ref="F162:H162"/>
    <mergeCell ref="I162:K162"/>
    <mergeCell ref="L162:N162"/>
    <mergeCell ref="A165:N165"/>
    <mergeCell ref="A166:E166"/>
    <mergeCell ref="F166:H166"/>
    <mergeCell ref="I166:K166"/>
    <mergeCell ref="L166:N166"/>
    <mergeCell ref="A167:E167"/>
    <mergeCell ref="F167:H167"/>
    <mergeCell ref="I167:K167"/>
    <mergeCell ref="L167:N167"/>
    <mergeCell ref="A171:E171"/>
    <mergeCell ref="F171:H171"/>
    <mergeCell ref="I171:K171"/>
    <mergeCell ref="L171:N171"/>
    <mergeCell ref="A168:E168"/>
    <mergeCell ref="F168:H168"/>
    <mergeCell ref="I168:K168"/>
    <mergeCell ref="L168:N168"/>
    <mergeCell ref="A169:E169"/>
    <mergeCell ref="F169:H169"/>
    <mergeCell ref="I169:K169"/>
    <mergeCell ref="L169:N169"/>
    <mergeCell ref="E187:G187"/>
    <mergeCell ref="H187:K187"/>
    <mergeCell ref="E179:K179"/>
    <mergeCell ref="E180:G180"/>
    <mergeCell ref="H180:K180"/>
    <mergeCell ref="E181:G184"/>
    <mergeCell ref="H181:K183"/>
    <mergeCell ref="H184:K184"/>
    <mergeCell ref="A174:E174"/>
    <mergeCell ref="F174:H174"/>
    <mergeCell ref="I174:K174"/>
    <mergeCell ref="A175:E175"/>
    <mergeCell ref="F175:H175"/>
    <mergeCell ref="I175:K175"/>
    <mergeCell ref="B126:D126"/>
    <mergeCell ref="E126:G126"/>
    <mergeCell ref="H126:J126"/>
    <mergeCell ref="K126:M126"/>
    <mergeCell ref="B122:M122"/>
    <mergeCell ref="B123:D123"/>
    <mergeCell ref="E185:G185"/>
    <mergeCell ref="H185:K185"/>
    <mergeCell ref="E186:G186"/>
    <mergeCell ref="H186:K186"/>
    <mergeCell ref="L174:N174"/>
    <mergeCell ref="L175:N175"/>
    <mergeCell ref="A172:E172"/>
    <mergeCell ref="F172:H172"/>
    <mergeCell ref="I172:K172"/>
    <mergeCell ref="L172:N172"/>
    <mergeCell ref="A173:E173"/>
    <mergeCell ref="F173:H173"/>
    <mergeCell ref="I173:K173"/>
    <mergeCell ref="L173:N173"/>
    <mergeCell ref="A170:E170"/>
    <mergeCell ref="F170:H170"/>
    <mergeCell ref="I170:K170"/>
    <mergeCell ref="L170:N170"/>
  </mergeCells>
  <conditionalFormatting sqref="A17:I18">
    <cfRule type="expression" dxfId="53" priority="1">
      <formula>OR($J$9="3SG",$J$9="4SG")</formula>
    </cfRule>
    <cfRule type="expression" dxfId="52" priority="2">
      <formula>OR($J$9="3ST",$J$9="4ST")</formula>
    </cfRule>
  </conditionalFormatting>
  <conditionalFormatting sqref="A19:I24 A27:I33">
    <cfRule type="expression" dxfId="51" priority="11">
      <formula>OR($J$9="3SG",$J$9="4SG")</formula>
    </cfRule>
    <cfRule type="expression" dxfId="50" priority="12">
      <formula>OR($J$9="3ST",$J$9="4ST")</formula>
    </cfRule>
  </conditionalFormatting>
  <conditionalFormatting sqref="A25:I26">
    <cfRule type="expression" dxfId="49" priority="9">
      <formula>$J$9="4SG"</formula>
    </cfRule>
    <cfRule type="expression" dxfId="48" priority="10">
      <formula>OR($J$9="3ST",$J$9="3SG",$J$9="4ST")</formula>
    </cfRule>
  </conditionalFormatting>
  <conditionalFormatting sqref="A16:J16">
    <cfRule type="expression" dxfId="47" priority="25">
      <formula>OR($J$9="3SG",$J$9="4SG")</formula>
    </cfRule>
    <cfRule type="expression" dxfId="46" priority="26">
      <formula>OR($J$9="3ST",$J$9="4ST")</formula>
    </cfRule>
  </conditionalFormatting>
  <conditionalFormatting sqref="J19">
    <cfRule type="expression" dxfId="45" priority="23">
      <formula>OR($J$9="3SG",$J$9="4SG")</formula>
    </cfRule>
    <cfRule type="expression" dxfId="44" priority="24">
      <formula>OR($J$9="3ST",$J$9="4ST")</formula>
    </cfRule>
  </conditionalFormatting>
  <conditionalFormatting sqref="J10:N10">
    <cfRule type="cellIs" dxfId="43" priority="29" stopIfTrue="1" operator="greaterThan">
      <formula>$F$10</formula>
    </cfRule>
  </conditionalFormatting>
  <conditionalFormatting sqref="J11:N11">
    <cfRule type="cellIs" dxfId="42" priority="28" stopIfTrue="1" operator="greaterThan">
      <formula>$F$11</formula>
    </cfRule>
  </conditionalFormatting>
  <conditionalFormatting sqref="J17:N18">
    <cfRule type="expression" dxfId="41" priority="13">
      <formula>OR($J$9="3SG",$J$9="4SG")</formula>
    </cfRule>
    <cfRule type="expression" dxfId="40" priority="14">
      <formula>OR($J$9="3ST",$J$9="4ST")</formula>
    </cfRule>
  </conditionalFormatting>
  <conditionalFormatting sqref="J20:N24 J27:N28 J32:N32">
    <cfRule type="expression" dxfId="39" priority="5">
      <formula>OR($J$9="3SG",$J$9="4SG")</formula>
    </cfRule>
    <cfRule type="expression" dxfId="38" priority="6">
      <formula>OR($J$9="3ST",$J$9="4ST")</formula>
    </cfRule>
  </conditionalFormatting>
  <conditionalFormatting sqref="J25:N26">
    <cfRule type="expression" dxfId="37" priority="7">
      <formula>$J$9="4SG"</formula>
    </cfRule>
    <cfRule type="expression" dxfId="36" priority="8">
      <formula>OR($J$9="3ST",$J$9="3SG",$J$9="4ST")</formula>
    </cfRule>
  </conditionalFormatting>
  <conditionalFormatting sqref="J29:N31 J33:N33">
    <cfRule type="expression" dxfId="35" priority="3">
      <formula>OR($J$9="3SG",$J$9="4SG")</formula>
    </cfRule>
    <cfRule type="expression" dxfId="34" priority="4">
      <formula>OR($J$9="3ST",$J$9="4ST")</formula>
    </cfRule>
  </conditionalFormatting>
  <conditionalFormatting sqref="O10:O11">
    <cfRule type="expression" dxfId="33" priority="27">
      <formula>J10&gt;F10</formula>
    </cfRule>
  </conditionalFormatting>
  <dataValidations count="10">
    <dataValidation type="list" operator="greaterThanOrEqual" allowBlank="1" showInputMessage="1" showErrorMessage="1" sqref="J23:N26" xr:uid="{00000000-0002-0000-0500-000000000000}">
      <formula1>Phasing2</formula1>
    </dataValidation>
    <dataValidation type="list" operator="greaterThanOrEqual" allowBlank="1" showInputMessage="1" showErrorMessage="1" sqref="J17:N18" xr:uid="{00000000-0002-0000-0500-000001000000}">
      <formula1>UnsigApproach2</formula1>
    </dataValidation>
    <dataValidation type="list" operator="greaterThan" allowBlank="1" showInputMessage="1" showErrorMessage="1" sqref="J9:N9" xr:uid="{00000000-0002-0000-0500-000002000000}">
      <formula1>IType2</formula1>
    </dataValidation>
    <dataValidation type="whole" operator="greaterThan" allowBlank="1" showInputMessage="1" showErrorMessage="1" sqref="K7:N7" xr:uid="{00000000-0002-0000-0500-000003000000}">
      <formula1>1990</formula1>
    </dataValidation>
    <dataValidation type="list" operator="greaterThanOrEqual" allowBlank="1" showInputMessage="1" showErrorMessage="1" sqref="J20:N22 J27:N27" xr:uid="{00000000-0002-0000-0500-000004000000}">
      <formula1>IntApproach2</formula1>
    </dataValidation>
    <dataValidation type="list" allowBlank="1" showInputMessage="1" showErrorMessage="1" sqref="J28:N28 J32:N32 J14:N14" xr:uid="{00000000-0002-0000-0500-000005000000}">
      <formula1>PresOrNot</formula1>
    </dataValidation>
    <dataValidation type="whole" operator="greaterThanOrEqual" allowBlank="1" showInputMessage="1" showErrorMessage="1" sqref="J33:N33 J30:N31 J10:N11" xr:uid="{00000000-0002-0000-0500-000006000000}">
      <formula1>0</formula1>
    </dataValidation>
    <dataValidation type="whole" allowBlank="1" showErrorMessage="1" promptTitle="Warning" prompt="The signalized intersection SPFs assume that there are some pedestrians present (value &gt; 0), so this input value should be a whole number of 1 or greater.  This field is not used for unsignalized intersections." sqref="J29:N29" xr:uid="{00000000-0002-0000-0500-000007000000}">
      <formula1>1</formula1>
      <formula2>34200</formula2>
    </dataValidation>
    <dataValidation type="list" allowBlank="1" showInputMessage="1" showErrorMessage="1" sqref="J13:N13" xr:uid="{00000000-0002-0000-0500-00000B000000}">
      <formula1>RType</formula1>
    </dataValidation>
    <dataValidation type="list" allowBlank="1" showInputMessage="1" showErrorMessage="1" sqref="J12:N12" xr:uid="{9493B1E3-5281-4D61-A286-0549A8AD4A86}">
      <formula1>District</formula1>
    </dataValidation>
  </dataValidations>
  <hyperlinks>
    <hyperlink ref="D10:D11" r:id="rId1" display="Map" xr:uid="{4BF72AE8-7634-4823-BDD3-CEF6FD01FD82}"/>
  </hyperlinks>
  <pageMargins left="0.7" right="0.7" top="0.75" bottom="0.75" header="0.3" footer="0.3"/>
  <pageSetup scale="65" fitToHeight="4" orientation="landscape" r:id="rId2"/>
  <headerFooter>
    <oddHeader>&amp;CUrban and Suburban Predictive Methods</oddHeader>
    <oddFooter>&amp;R&amp;P</oddFooter>
  </headerFooter>
  <rowBreaks count="3" manualBreakCount="3">
    <brk id="45" max="13" man="1"/>
    <brk id="90" max="13" man="1"/>
    <brk id="139" max="13" man="1"/>
  </row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91"/>
  <sheetViews>
    <sheetView workbookViewId="0"/>
  </sheetViews>
  <sheetFormatPr defaultRowHeight="13.2"/>
  <cols>
    <col min="1" max="4" width="13.6640625" customWidth="1"/>
    <col min="5" max="5" width="16" bestFit="1" customWidth="1"/>
    <col min="6" max="6" width="14.44140625" customWidth="1"/>
    <col min="7" max="7" width="13.6640625" customWidth="1"/>
    <col min="8" max="8" width="14.44140625" customWidth="1"/>
    <col min="9" max="10" width="13.6640625" customWidth="1"/>
    <col min="11" max="11" width="14.44140625" customWidth="1"/>
    <col min="12" max="12" width="13.6640625" customWidth="1"/>
    <col min="13" max="19" width="14.44140625" customWidth="1"/>
    <col min="20" max="21" width="13.6640625" customWidth="1"/>
    <col min="22" max="22" width="14.44140625" customWidth="1"/>
    <col min="23" max="33" width="13.6640625" customWidth="1"/>
  </cols>
  <sheetData>
    <row r="1" spans="2:31">
      <c r="B1" s="80" t="s">
        <v>444</v>
      </c>
      <c r="Y1" s="80" t="s">
        <v>460</v>
      </c>
    </row>
    <row r="2" spans="2:31" ht="13.8" thickBot="1">
      <c r="B2" s="80"/>
      <c r="Y2" s="80"/>
    </row>
    <row r="3" spans="2:31" ht="13.8" customHeight="1" thickTop="1" thickBot="1">
      <c r="B3" s="826" t="s">
        <v>580</v>
      </c>
      <c r="C3" s="826"/>
      <c r="D3" s="826"/>
      <c r="E3" s="826"/>
      <c r="F3" s="826"/>
      <c r="G3" s="826"/>
      <c r="H3" s="826"/>
      <c r="I3" s="826"/>
      <c r="J3" s="826"/>
      <c r="K3" s="826"/>
      <c r="M3" s="826" t="s">
        <v>583</v>
      </c>
      <c r="N3" s="826"/>
      <c r="O3" s="826"/>
      <c r="P3" s="826"/>
      <c r="Q3" s="826"/>
      <c r="R3" s="826"/>
      <c r="S3" s="826"/>
      <c r="T3" s="826"/>
      <c r="U3" s="826"/>
      <c r="V3" s="826"/>
    </row>
    <row r="4" spans="2:31" ht="13.8" customHeight="1" thickTop="1" thickBot="1">
      <c r="B4" s="629" t="s">
        <v>69</v>
      </c>
      <c r="C4" s="629"/>
      <c r="D4" s="244" t="s">
        <v>67</v>
      </c>
      <c r="E4" s="658"/>
      <c r="F4" s="659"/>
      <c r="G4" s="659"/>
      <c r="H4" s="659"/>
      <c r="I4" s="659"/>
      <c r="J4" s="659"/>
      <c r="K4" s="659"/>
      <c r="M4" s="629" t="s">
        <v>69</v>
      </c>
      <c r="N4" s="629"/>
      <c r="O4" s="244" t="s">
        <v>67</v>
      </c>
      <c r="P4" s="658"/>
      <c r="Q4" s="659"/>
      <c r="R4" s="659"/>
      <c r="S4" s="659"/>
      <c r="T4" s="659"/>
      <c r="U4" s="659"/>
      <c r="V4" s="659"/>
      <c r="Y4" s="585" t="s">
        <v>592</v>
      </c>
      <c r="Z4" s="668"/>
      <c r="AA4" s="668"/>
      <c r="AB4" s="668"/>
      <c r="AC4" s="668"/>
      <c r="AD4" s="696"/>
      <c r="AE4" s="696"/>
    </row>
    <row r="5" spans="2:31" ht="13.8" thickBot="1">
      <c r="B5" s="812" t="s">
        <v>445</v>
      </c>
      <c r="C5" s="570" t="s">
        <v>47</v>
      </c>
      <c r="D5" s="590"/>
      <c r="E5" s="590"/>
      <c r="F5" s="590"/>
      <c r="G5" s="809" t="s">
        <v>445</v>
      </c>
      <c r="H5" s="570" t="s">
        <v>48</v>
      </c>
      <c r="I5" s="590"/>
      <c r="J5" s="590"/>
      <c r="K5" s="590"/>
      <c r="M5" s="812" t="s">
        <v>445</v>
      </c>
      <c r="N5" s="570" t="s">
        <v>47</v>
      </c>
      <c r="O5" s="590"/>
      <c r="P5" s="590"/>
      <c r="Q5" s="590"/>
      <c r="R5" s="809" t="s">
        <v>445</v>
      </c>
      <c r="S5" s="570" t="s">
        <v>48</v>
      </c>
      <c r="T5" s="590"/>
      <c r="U5" s="590"/>
      <c r="V5" s="590"/>
      <c r="Y5" s="669"/>
      <c r="Z5" s="669"/>
      <c r="AA5" s="669"/>
      <c r="AB5" s="669"/>
      <c r="AC5" s="669"/>
      <c r="AD5" s="698"/>
      <c r="AE5" s="698"/>
    </row>
    <row r="6" spans="2:31" ht="13.2" customHeight="1">
      <c r="B6" s="316"/>
      <c r="C6" s="179" t="s">
        <v>448</v>
      </c>
      <c r="D6" s="105"/>
      <c r="E6" s="105"/>
      <c r="F6" s="813" t="s">
        <v>651</v>
      </c>
      <c r="G6" s="810"/>
      <c r="H6" s="179" t="s">
        <v>448</v>
      </c>
      <c r="I6" s="105"/>
      <c r="J6" s="105"/>
      <c r="K6" s="813" t="s">
        <v>651</v>
      </c>
      <c r="M6" s="316"/>
      <c r="N6" s="179" t="s">
        <v>448</v>
      </c>
      <c r="O6" s="105"/>
      <c r="P6" s="105"/>
      <c r="Q6" s="813" t="s">
        <v>651</v>
      </c>
      <c r="R6" s="810"/>
      <c r="S6" s="179" t="s">
        <v>448</v>
      </c>
      <c r="T6" s="105"/>
      <c r="U6" s="105"/>
      <c r="V6" s="813" t="s">
        <v>651</v>
      </c>
      <c r="Y6" s="830" t="s">
        <v>458</v>
      </c>
      <c r="Z6" s="315" t="s">
        <v>461</v>
      </c>
      <c r="AA6" s="831"/>
      <c r="AB6" s="315" t="s">
        <v>471</v>
      </c>
      <c r="AC6" s="316"/>
      <c r="AD6" s="316"/>
      <c r="AE6" s="316"/>
    </row>
    <row r="7" spans="2:31" ht="15.6">
      <c r="B7" s="316"/>
      <c r="C7" s="180" t="s">
        <v>236</v>
      </c>
      <c r="D7" s="106" t="s">
        <v>446</v>
      </c>
      <c r="E7" s="106" t="s">
        <v>447</v>
      </c>
      <c r="F7" s="813"/>
      <c r="G7" s="810"/>
      <c r="H7" s="180" t="s">
        <v>236</v>
      </c>
      <c r="I7" s="106" t="s">
        <v>446</v>
      </c>
      <c r="J7" s="106" t="s">
        <v>447</v>
      </c>
      <c r="K7" s="813"/>
      <c r="M7" s="316"/>
      <c r="N7" s="180" t="s">
        <v>236</v>
      </c>
      <c r="O7" s="106" t="s">
        <v>446</v>
      </c>
      <c r="P7" s="106" t="s">
        <v>447</v>
      </c>
      <c r="Q7" s="813"/>
      <c r="R7" s="810"/>
      <c r="S7" s="180" t="s">
        <v>236</v>
      </c>
      <c r="T7" s="106" t="s">
        <v>446</v>
      </c>
      <c r="U7" s="106" t="s">
        <v>447</v>
      </c>
      <c r="V7" s="813"/>
      <c r="Y7" s="394"/>
      <c r="Z7" s="528"/>
      <c r="AA7" s="831"/>
      <c r="AB7" s="317"/>
      <c r="AC7" s="318"/>
      <c r="AD7" s="318"/>
      <c r="AE7" s="318"/>
    </row>
    <row r="8" spans="2:31">
      <c r="B8" s="318"/>
      <c r="C8" s="181" t="s">
        <v>87</v>
      </c>
      <c r="D8" s="81" t="s">
        <v>88</v>
      </c>
      <c r="E8" s="81" t="s">
        <v>382</v>
      </c>
      <c r="F8" s="150" t="s">
        <v>652</v>
      </c>
      <c r="G8" s="811"/>
      <c r="H8" s="181" t="s">
        <v>87</v>
      </c>
      <c r="I8" s="81" t="s">
        <v>88</v>
      </c>
      <c r="J8" s="81" t="s">
        <v>382</v>
      </c>
      <c r="K8" s="150" t="s">
        <v>652</v>
      </c>
      <c r="M8" s="318"/>
      <c r="N8" s="181" t="s">
        <v>87</v>
      </c>
      <c r="O8" s="81" t="s">
        <v>88</v>
      </c>
      <c r="P8" s="81" t="s">
        <v>382</v>
      </c>
      <c r="Q8" s="150" t="s">
        <v>652</v>
      </c>
      <c r="R8" s="811"/>
      <c r="S8" s="181" t="s">
        <v>87</v>
      </c>
      <c r="T8" s="81" t="s">
        <v>88</v>
      </c>
      <c r="U8" s="81" t="s">
        <v>382</v>
      </c>
      <c r="V8" s="150" t="s">
        <v>652</v>
      </c>
      <c r="Y8" s="394"/>
      <c r="Z8" s="528"/>
      <c r="AA8" s="831"/>
      <c r="AB8" s="502" t="s">
        <v>468</v>
      </c>
      <c r="AC8" s="502" t="s">
        <v>467</v>
      </c>
      <c r="AD8" s="502" t="s">
        <v>469</v>
      </c>
      <c r="AE8" s="313" t="s">
        <v>470</v>
      </c>
    </row>
    <row r="9" spans="2:31">
      <c r="B9" s="631" t="s">
        <v>238</v>
      </c>
      <c r="C9" s="337"/>
      <c r="D9" s="337"/>
      <c r="E9" s="337"/>
      <c r="F9" s="337"/>
      <c r="G9" s="635" t="s">
        <v>238</v>
      </c>
      <c r="H9" s="337"/>
      <c r="I9" s="337"/>
      <c r="J9" s="337"/>
      <c r="K9" s="337"/>
      <c r="M9" s="631" t="s">
        <v>238</v>
      </c>
      <c r="N9" s="337"/>
      <c r="O9" s="337"/>
      <c r="P9" s="337"/>
      <c r="Q9" s="337"/>
      <c r="R9" s="635" t="s">
        <v>238</v>
      </c>
      <c r="S9" s="337"/>
      <c r="T9" s="337"/>
      <c r="U9" s="337"/>
      <c r="V9" s="337"/>
      <c r="Y9" s="396"/>
      <c r="Z9" s="530"/>
      <c r="AA9" s="767"/>
      <c r="AB9" s="758"/>
      <c r="AC9" s="758"/>
      <c r="AD9" s="758"/>
      <c r="AE9" s="317"/>
    </row>
    <row r="10" spans="2:31" ht="15.6">
      <c r="B10" s="89" t="s">
        <v>73</v>
      </c>
      <c r="C10" s="11">
        <v>-13.36</v>
      </c>
      <c r="D10" s="11">
        <v>1.1100000000000001</v>
      </c>
      <c r="E10" s="11">
        <v>0.41</v>
      </c>
      <c r="F10" s="12">
        <v>0.8</v>
      </c>
      <c r="G10" s="154" t="s">
        <v>73</v>
      </c>
      <c r="H10" s="249">
        <v>-14.492000000000001</v>
      </c>
      <c r="I10" s="249">
        <v>1.26</v>
      </c>
      <c r="J10" s="249">
        <v>0.38</v>
      </c>
      <c r="K10" s="249">
        <v>0.81</v>
      </c>
      <c r="M10" s="89" t="s">
        <v>73</v>
      </c>
      <c r="N10" s="11">
        <v>-6.81</v>
      </c>
      <c r="O10" s="11">
        <v>0.16</v>
      </c>
      <c r="P10" s="11">
        <v>0.51</v>
      </c>
      <c r="Q10" s="12">
        <v>1.1399999999999999</v>
      </c>
      <c r="R10" s="154" t="s">
        <v>73</v>
      </c>
      <c r="S10" s="249">
        <v>-9.0869999999999997</v>
      </c>
      <c r="T10" s="249">
        <v>0.21</v>
      </c>
      <c r="U10" s="249">
        <v>0.72</v>
      </c>
      <c r="V10" s="249">
        <v>1.34</v>
      </c>
      <c r="Y10" s="129" t="s">
        <v>73</v>
      </c>
      <c r="Z10" s="832" t="s">
        <v>462</v>
      </c>
      <c r="AA10" s="833"/>
      <c r="AB10" s="11">
        <v>0.67</v>
      </c>
      <c r="AC10" s="12">
        <v>0.45</v>
      </c>
      <c r="AD10" s="131" t="s">
        <v>13</v>
      </c>
      <c r="AE10" s="131" t="s">
        <v>13</v>
      </c>
    </row>
    <row r="11" spans="2:31">
      <c r="B11" s="89" t="s">
        <v>449</v>
      </c>
      <c r="C11" s="11">
        <v>-12.13</v>
      </c>
      <c r="D11" s="11">
        <v>1.1100000000000001</v>
      </c>
      <c r="E11" s="11">
        <v>0.26</v>
      </c>
      <c r="F11" s="12">
        <v>0.33</v>
      </c>
      <c r="G11" s="154" t="s">
        <v>449</v>
      </c>
      <c r="H11" s="249">
        <v>-15.945</v>
      </c>
      <c r="I11" s="249">
        <v>1.48</v>
      </c>
      <c r="J11" s="249">
        <v>0.27</v>
      </c>
      <c r="K11" s="249">
        <v>1.39</v>
      </c>
      <c r="M11" s="89" t="s">
        <v>449</v>
      </c>
      <c r="N11" s="11">
        <v>-9.02</v>
      </c>
      <c r="O11" s="11">
        <v>0.42</v>
      </c>
      <c r="P11" s="11">
        <v>0.4</v>
      </c>
      <c r="Q11" s="12">
        <v>0.36</v>
      </c>
      <c r="R11" s="154" t="s">
        <v>449</v>
      </c>
      <c r="S11" s="249">
        <v>-8.4580000000000002</v>
      </c>
      <c r="T11" s="249">
        <v>0.42</v>
      </c>
      <c r="U11" s="249">
        <v>0.27</v>
      </c>
      <c r="V11" s="249">
        <v>0.11</v>
      </c>
      <c r="Y11" s="129" t="s">
        <v>449</v>
      </c>
      <c r="Z11" s="834" t="s">
        <v>463</v>
      </c>
      <c r="AA11" s="286"/>
      <c r="AB11" s="11">
        <v>0.93</v>
      </c>
      <c r="AC11" s="12">
        <v>0.86</v>
      </c>
      <c r="AD11" s="11">
        <v>0.8</v>
      </c>
      <c r="AE11" s="12">
        <v>0.8</v>
      </c>
    </row>
    <row r="12" spans="2:31" ht="15.6">
      <c r="B12" s="109" t="s">
        <v>74</v>
      </c>
      <c r="C12" s="11">
        <v>-8.9</v>
      </c>
      <c r="D12" s="11">
        <v>0.82</v>
      </c>
      <c r="E12" s="11">
        <v>0.25</v>
      </c>
      <c r="F12" s="12">
        <v>0.4</v>
      </c>
      <c r="G12" s="155" t="s">
        <v>74</v>
      </c>
      <c r="H12" s="249">
        <v>-14.234999999999999</v>
      </c>
      <c r="I12" s="249">
        <v>1.0529999999999999</v>
      </c>
      <c r="J12" s="249">
        <v>0.70499999999999996</v>
      </c>
      <c r="K12" s="249">
        <v>0.59</v>
      </c>
      <c r="M12" s="109" t="s">
        <v>74</v>
      </c>
      <c r="N12" s="11">
        <v>-5.33</v>
      </c>
      <c r="O12" s="11">
        <v>0.33</v>
      </c>
      <c r="P12" s="11">
        <v>0.12</v>
      </c>
      <c r="Q12" s="12">
        <v>0.65</v>
      </c>
      <c r="R12" s="155" t="s">
        <v>74</v>
      </c>
      <c r="S12" s="249">
        <v>-8.0950000000000006</v>
      </c>
      <c r="T12" s="249">
        <v>0.53</v>
      </c>
      <c r="U12" s="249">
        <v>0.12</v>
      </c>
      <c r="V12" s="249">
        <v>0.19</v>
      </c>
      <c r="Y12" s="133" t="s">
        <v>74</v>
      </c>
      <c r="Z12" s="832" t="s">
        <v>464</v>
      </c>
      <c r="AA12" s="833"/>
      <c r="AB12" s="11">
        <v>0.73</v>
      </c>
      <c r="AC12" s="12">
        <v>0.53</v>
      </c>
      <c r="AD12" s="131" t="s">
        <v>13</v>
      </c>
      <c r="AE12" s="131" t="s">
        <v>13</v>
      </c>
    </row>
    <row r="13" spans="2:31" ht="13.8" thickBot="1">
      <c r="B13" s="89" t="s">
        <v>75</v>
      </c>
      <c r="C13" s="11">
        <v>-10.99</v>
      </c>
      <c r="D13" s="11">
        <v>1.07</v>
      </c>
      <c r="E13" s="11">
        <v>0.23</v>
      </c>
      <c r="F13" s="12">
        <v>0.39</v>
      </c>
      <c r="G13" s="154" t="s">
        <v>75</v>
      </c>
      <c r="H13" s="249">
        <v>-11.539199999999999</v>
      </c>
      <c r="I13" s="249">
        <v>1.1060000000000001</v>
      </c>
      <c r="J13" s="249">
        <v>0.27800000000000002</v>
      </c>
      <c r="K13" s="249">
        <v>1.44</v>
      </c>
      <c r="M13" s="89" t="s">
        <v>75</v>
      </c>
      <c r="N13" s="11">
        <v>-10.210000000000001</v>
      </c>
      <c r="O13" s="11">
        <v>0.68</v>
      </c>
      <c r="P13" s="11">
        <v>0.27</v>
      </c>
      <c r="Q13" s="12">
        <v>0.36</v>
      </c>
      <c r="R13" s="154" t="s">
        <v>75</v>
      </c>
      <c r="S13" s="249">
        <v>-10.525</v>
      </c>
      <c r="T13" s="249">
        <v>0.68</v>
      </c>
      <c r="U13" s="249">
        <v>0.27</v>
      </c>
      <c r="V13" s="249">
        <v>0.01</v>
      </c>
      <c r="Y13" s="134" t="s">
        <v>75</v>
      </c>
      <c r="Z13" s="835" t="s">
        <v>463</v>
      </c>
      <c r="AA13" s="306"/>
      <c r="AB13" s="13">
        <v>0.9</v>
      </c>
      <c r="AC13" s="84">
        <v>0.81</v>
      </c>
      <c r="AD13" s="13">
        <v>0.73</v>
      </c>
      <c r="AE13" s="84">
        <v>0.66</v>
      </c>
    </row>
    <row r="14" spans="2:31">
      <c r="B14" s="617" t="s">
        <v>239</v>
      </c>
      <c r="C14" s="291"/>
      <c r="D14" s="291"/>
      <c r="E14" s="291"/>
      <c r="F14" s="285"/>
      <c r="G14" s="157"/>
      <c r="H14" s="158"/>
      <c r="I14" s="158"/>
      <c r="J14" s="158"/>
      <c r="K14" s="158"/>
      <c r="M14" s="617" t="s">
        <v>239</v>
      </c>
      <c r="N14" s="291"/>
      <c r="O14" s="291"/>
      <c r="P14" s="291"/>
      <c r="Q14" s="285"/>
      <c r="R14" s="157"/>
      <c r="S14" s="158"/>
      <c r="T14" s="158"/>
      <c r="U14" s="158"/>
      <c r="V14" s="158"/>
      <c r="Y14" s="828" t="s">
        <v>465</v>
      </c>
      <c r="Z14" s="523"/>
      <c r="AA14" s="523"/>
      <c r="AB14" s="523"/>
      <c r="AC14" s="523"/>
      <c r="AD14" s="523"/>
      <c r="AE14" s="523"/>
    </row>
    <row r="15" spans="2:31">
      <c r="B15" s="89" t="s">
        <v>73</v>
      </c>
      <c r="C15" s="11">
        <v>-14.01</v>
      </c>
      <c r="D15" s="11">
        <v>1.1599999999999999</v>
      </c>
      <c r="E15" s="11">
        <v>0.3</v>
      </c>
      <c r="F15" s="12">
        <v>0.69</v>
      </c>
      <c r="G15" s="159"/>
      <c r="H15" s="20"/>
      <c r="I15" s="20"/>
      <c r="J15" s="20"/>
      <c r="K15" s="20"/>
      <c r="M15" s="89" t="s">
        <v>73</v>
      </c>
      <c r="N15" s="130" t="s">
        <v>13</v>
      </c>
      <c r="O15" s="130" t="s">
        <v>13</v>
      </c>
      <c r="P15" s="130" t="s">
        <v>13</v>
      </c>
      <c r="Q15" s="131" t="s">
        <v>13</v>
      </c>
      <c r="R15" s="159"/>
      <c r="S15" s="20"/>
      <c r="T15" s="20"/>
      <c r="U15" s="20"/>
      <c r="V15" s="20"/>
      <c r="Y15" s="829" t="s">
        <v>466</v>
      </c>
      <c r="Z15" s="442"/>
      <c r="AA15" s="442"/>
      <c r="AB15" s="442"/>
      <c r="AC15" s="442"/>
      <c r="AD15" s="442"/>
      <c r="AE15" s="442"/>
    </row>
    <row r="16" spans="2:31">
      <c r="B16" s="89" t="s">
        <v>449</v>
      </c>
      <c r="C16" s="11">
        <v>-11.58</v>
      </c>
      <c r="D16" s="11">
        <v>1.02</v>
      </c>
      <c r="E16" s="11">
        <v>0.17</v>
      </c>
      <c r="F16" s="12">
        <v>0.3</v>
      </c>
      <c r="G16" s="159"/>
      <c r="H16" s="20"/>
      <c r="I16" s="20"/>
      <c r="J16" s="20"/>
      <c r="K16" s="20"/>
      <c r="M16" s="89" t="s">
        <v>449</v>
      </c>
      <c r="N16" s="11">
        <v>-9.75</v>
      </c>
      <c r="O16" s="11">
        <v>0.27</v>
      </c>
      <c r="P16" s="11">
        <v>0.51</v>
      </c>
      <c r="Q16" s="12">
        <v>0.24</v>
      </c>
      <c r="R16" s="159"/>
      <c r="S16" s="20"/>
      <c r="T16" s="20"/>
      <c r="U16" s="20"/>
      <c r="V16" s="20"/>
    </row>
    <row r="17" spans="2:31">
      <c r="B17" s="109" t="s">
        <v>74</v>
      </c>
      <c r="C17" s="11">
        <v>-11.13</v>
      </c>
      <c r="D17" s="11">
        <v>0.93</v>
      </c>
      <c r="E17" s="11">
        <v>0.28000000000000003</v>
      </c>
      <c r="F17" s="12">
        <v>0.48</v>
      </c>
      <c r="G17" s="159"/>
      <c r="H17" s="20"/>
      <c r="I17" s="20"/>
      <c r="J17" s="20"/>
      <c r="K17" s="20"/>
      <c r="M17" s="109" t="s">
        <v>74</v>
      </c>
      <c r="N17" s="130" t="s">
        <v>13</v>
      </c>
      <c r="O17" s="130" t="s">
        <v>13</v>
      </c>
      <c r="P17" s="130" t="s">
        <v>13</v>
      </c>
      <c r="Q17" s="131" t="s">
        <v>13</v>
      </c>
      <c r="R17" s="159"/>
      <c r="S17" s="20"/>
      <c r="T17" s="20"/>
      <c r="U17" s="20"/>
      <c r="V17" s="20"/>
    </row>
    <row r="18" spans="2:31" ht="13.8" thickBot="1">
      <c r="B18" s="89" t="s">
        <v>75</v>
      </c>
      <c r="C18" s="11">
        <v>-13.14</v>
      </c>
      <c r="D18" s="11">
        <v>1.18</v>
      </c>
      <c r="E18" s="11">
        <v>0.22</v>
      </c>
      <c r="F18" s="12">
        <v>0.33</v>
      </c>
      <c r="G18" s="159"/>
      <c r="H18" s="20"/>
      <c r="I18" s="20"/>
      <c r="J18" s="20"/>
      <c r="K18" s="20"/>
      <c r="M18" s="89" t="s">
        <v>75</v>
      </c>
      <c r="N18" s="11">
        <v>-9.25</v>
      </c>
      <c r="O18" s="11">
        <v>0.43</v>
      </c>
      <c r="P18" s="11">
        <v>0.28999999999999998</v>
      </c>
      <c r="Q18" s="12">
        <v>0.09</v>
      </c>
      <c r="R18" s="159"/>
      <c r="S18" s="20"/>
      <c r="T18" s="20"/>
      <c r="U18" s="20"/>
      <c r="V18" s="20"/>
    </row>
    <row r="19" spans="2:31" ht="13.8" thickTop="1">
      <c r="B19" s="617" t="s">
        <v>240</v>
      </c>
      <c r="C19" s="291"/>
      <c r="D19" s="291"/>
      <c r="E19" s="291"/>
      <c r="F19" s="285"/>
      <c r="G19" s="159"/>
      <c r="H19" s="20"/>
      <c r="I19" s="20"/>
      <c r="J19" s="20"/>
      <c r="K19" s="20"/>
      <c r="M19" s="617" t="s">
        <v>240</v>
      </c>
      <c r="N19" s="291"/>
      <c r="O19" s="291"/>
      <c r="P19" s="291"/>
      <c r="Q19" s="285"/>
      <c r="R19" s="159"/>
      <c r="S19" s="20"/>
      <c r="T19" s="20"/>
      <c r="U19" s="20"/>
      <c r="V19" s="20"/>
      <c r="Y19" s="585" t="s">
        <v>593</v>
      </c>
      <c r="Z19" s="668"/>
      <c r="AA19" s="668"/>
      <c r="AB19" s="668"/>
      <c r="AC19" s="668"/>
      <c r="AD19" s="696"/>
      <c r="AE19" s="696"/>
    </row>
    <row r="20" spans="2:31" ht="13.8" thickBot="1">
      <c r="B20" s="89" t="s">
        <v>73</v>
      </c>
      <c r="C20" s="11">
        <v>-15.38</v>
      </c>
      <c r="D20" s="11">
        <v>1.2</v>
      </c>
      <c r="E20" s="11">
        <v>0.51</v>
      </c>
      <c r="F20" s="12">
        <v>0.77</v>
      </c>
      <c r="G20" s="159"/>
      <c r="H20" s="20"/>
      <c r="I20" s="20"/>
      <c r="J20" s="20"/>
      <c r="K20" s="20"/>
      <c r="M20" s="89" t="s">
        <v>73</v>
      </c>
      <c r="N20" s="11">
        <v>-8.36</v>
      </c>
      <c r="O20" s="11">
        <v>0.25</v>
      </c>
      <c r="P20" s="11">
        <v>0.55000000000000004</v>
      </c>
      <c r="Q20" s="12">
        <v>1.29</v>
      </c>
      <c r="R20" s="159"/>
      <c r="S20" s="20"/>
      <c r="T20" s="20"/>
      <c r="U20" s="20"/>
      <c r="V20" s="20"/>
      <c r="Y20" s="669"/>
      <c r="Z20" s="669"/>
      <c r="AA20" s="669"/>
      <c r="AB20" s="669"/>
      <c r="AC20" s="669"/>
      <c r="AD20" s="698"/>
      <c r="AE20" s="698"/>
    </row>
    <row r="21" spans="2:31">
      <c r="B21" s="89" t="s">
        <v>449</v>
      </c>
      <c r="C21" s="11">
        <v>-13.24</v>
      </c>
      <c r="D21" s="11">
        <v>1.1399999999999999</v>
      </c>
      <c r="E21" s="11">
        <v>0.3</v>
      </c>
      <c r="F21" s="12">
        <v>0.36</v>
      </c>
      <c r="G21" s="159"/>
      <c r="H21" s="20"/>
      <c r="I21" s="20"/>
      <c r="J21" s="20"/>
      <c r="K21" s="20"/>
      <c r="M21" s="89" t="s">
        <v>449</v>
      </c>
      <c r="N21" s="11">
        <v>-9.08</v>
      </c>
      <c r="O21" s="11">
        <v>0.45</v>
      </c>
      <c r="P21" s="11">
        <v>0.33</v>
      </c>
      <c r="Q21" s="12">
        <v>0.53</v>
      </c>
      <c r="R21" s="159"/>
      <c r="S21" s="20"/>
      <c r="T21" s="20"/>
      <c r="U21" s="20"/>
      <c r="V21" s="20"/>
      <c r="Y21" s="830" t="s">
        <v>458</v>
      </c>
      <c r="Z21" s="315" t="s">
        <v>461</v>
      </c>
      <c r="AA21" s="831"/>
      <c r="AB21" s="315" t="s">
        <v>472</v>
      </c>
      <c r="AC21" s="316"/>
      <c r="AD21" s="316"/>
      <c r="AE21" s="316"/>
    </row>
    <row r="22" spans="2:31">
      <c r="B22" s="109" t="s">
        <v>74</v>
      </c>
      <c r="C22" s="11">
        <v>-8.74</v>
      </c>
      <c r="D22" s="11">
        <v>0.77</v>
      </c>
      <c r="E22" s="11">
        <v>0.23</v>
      </c>
      <c r="F22" s="12">
        <v>0.4</v>
      </c>
      <c r="G22" s="159"/>
      <c r="H22" s="20"/>
      <c r="I22" s="20"/>
      <c r="J22" s="20"/>
      <c r="K22" s="20"/>
      <c r="M22" s="109" t="s">
        <v>74</v>
      </c>
      <c r="N22" s="11">
        <v>-7.04</v>
      </c>
      <c r="O22" s="11">
        <v>0.36</v>
      </c>
      <c r="P22" s="11">
        <v>0.25</v>
      </c>
      <c r="Q22" s="12">
        <v>0.54</v>
      </c>
      <c r="R22" s="159"/>
      <c r="S22" s="20"/>
      <c r="T22" s="20"/>
      <c r="U22" s="20"/>
      <c r="V22" s="20"/>
      <c r="Y22" s="394"/>
      <c r="Z22" s="528"/>
      <c r="AA22" s="831"/>
      <c r="AB22" s="317"/>
      <c r="AC22" s="318"/>
      <c r="AD22" s="318"/>
      <c r="AE22" s="318"/>
    </row>
    <row r="23" spans="2:31" ht="13.8" thickBot="1">
      <c r="B23" s="92" t="s">
        <v>75</v>
      </c>
      <c r="C23" s="13">
        <v>-11.02</v>
      </c>
      <c r="D23" s="13">
        <v>1.02</v>
      </c>
      <c r="E23" s="13">
        <v>0.24</v>
      </c>
      <c r="F23" s="84">
        <v>0.44</v>
      </c>
      <c r="G23" s="160"/>
      <c r="H23" s="161"/>
      <c r="I23" s="161"/>
      <c r="J23" s="161"/>
      <c r="K23" s="161"/>
      <c r="M23" s="92" t="s">
        <v>75</v>
      </c>
      <c r="N23" s="13">
        <v>-11.34</v>
      </c>
      <c r="O23" s="13">
        <v>0.78</v>
      </c>
      <c r="P23" s="13">
        <v>0.25</v>
      </c>
      <c r="Q23" s="84">
        <v>0.44</v>
      </c>
      <c r="R23" s="160"/>
      <c r="S23" s="161"/>
      <c r="T23" s="161"/>
      <c r="U23" s="161"/>
      <c r="V23" s="161"/>
      <c r="Y23" s="394"/>
      <c r="Z23" s="528"/>
      <c r="AA23" s="831"/>
      <c r="AB23" s="502" t="s">
        <v>468</v>
      </c>
      <c r="AC23" s="502" t="s">
        <v>467</v>
      </c>
      <c r="AD23" s="502" t="s">
        <v>469</v>
      </c>
      <c r="AE23" s="313" t="s">
        <v>470</v>
      </c>
    </row>
    <row r="24" spans="2:31" ht="13.8" thickBot="1">
      <c r="M24" s="827" t="s">
        <v>749</v>
      </c>
      <c r="N24" s="827"/>
      <c r="O24" s="827"/>
      <c r="P24" s="827"/>
      <c r="Q24" s="827"/>
      <c r="R24" s="827"/>
      <c r="S24" s="827"/>
      <c r="T24" s="827"/>
      <c r="U24" s="827"/>
      <c r="V24" s="827"/>
      <c r="Y24" s="396"/>
      <c r="Z24" s="530"/>
      <c r="AA24" s="767"/>
      <c r="AB24" s="758"/>
      <c r="AC24" s="758"/>
      <c r="AD24" s="758"/>
      <c r="AE24" s="317"/>
    </row>
    <row r="25" spans="2:31" ht="16.2" thickTop="1">
      <c r="B25" s="585" t="s">
        <v>586</v>
      </c>
      <c r="C25" s="585"/>
      <c r="D25" s="585"/>
      <c r="E25" s="585"/>
      <c r="F25" s="585"/>
      <c r="G25" s="585"/>
      <c r="H25" s="585"/>
      <c r="M25" s="824" t="s">
        <v>450</v>
      </c>
      <c r="N25" s="824"/>
      <c r="O25" s="824"/>
      <c r="P25" s="824"/>
      <c r="Q25" s="824"/>
      <c r="R25" s="824"/>
      <c r="S25" s="824"/>
      <c r="T25" s="824"/>
      <c r="U25" s="824"/>
      <c r="V25" s="824"/>
      <c r="Y25" s="129" t="s">
        <v>73</v>
      </c>
      <c r="Z25" s="832" t="s">
        <v>462</v>
      </c>
      <c r="AA25" s="833"/>
      <c r="AB25" s="11">
        <v>0.86</v>
      </c>
      <c r="AC25" s="12">
        <v>0.74</v>
      </c>
      <c r="AD25" s="130" t="s">
        <v>13</v>
      </c>
      <c r="AE25" s="131" t="s">
        <v>13</v>
      </c>
    </row>
    <row r="26" spans="2:31" ht="13.8" thickBot="1">
      <c r="B26" s="586"/>
      <c r="C26" s="586"/>
      <c r="D26" s="586"/>
      <c r="E26" s="586"/>
      <c r="F26" s="586"/>
      <c r="G26" s="586"/>
      <c r="H26" s="586"/>
      <c r="M26" s="825" t="s">
        <v>672</v>
      </c>
      <c r="N26" s="825"/>
      <c r="O26" s="825"/>
      <c r="P26" s="825"/>
      <c r="Q26" s="825"/>
      <c r="R26" s="825"/>
      <c r="S26" s="825"/>
      <c r="T26" s="825"/>
      <c r="U26" s="825"/>
      <c r="V26" s="825"/>
      <c r="Y26" s="129" t="s">
        <v>449</v>
      </c>
      <c r="Z26" s="834" t="s">
        <v>463</v>
      </c>
      <c r="AA26" s="286"/>
      <c r="AB26" s="11">
        <v>0.96</v>
      </c>
      <c r="AC26" s="12">
        <v>0.92</v>
      </c>
      <c r="AD26" s="130" t="s">
        <v>13</v>
      </c>
      <c r="AE26" s="131" t="s">
        <v>13</v>
      </c>
    </row>
    <row r="27" spans="2:31" ht="16.2" customHeight="1" thickBot="1">
      <c r="B27" s="629" t="s">
        <v>69</v>
      </c>
      <c r="C27" s="629"/>
      <c r="D27" s="244" t="s">
        <v>68</v>
      </c>
      <c r="E27" s="577"/>
      <c r="F27" s="815"/>
      <c r="G27" s="815"/>
      <c r="H27" s="815"/>
      <c r="Y27" s="133" t="s">
        <v>74</v>
      </c>
      <c r="Z27" s="832" t="s">
        <v>464</v>
      </c>
      <c r="AA27" s="833"/>
      <c r="AB27" s="11">
        <v>0.86</v>
      </c>
      <c r="AC27" s="12">
        <v>0.74</v>
      </c>
      <c r="AD27" s="130" t="s">
        <v>13</v>
      </c>
      <c r="AE27" s="131" t="s">
        <v>13</v>
      </c>
    </row>
    <row r="28" spans="2:31" ht="15.6" customHeight="1" thickTop="1" thickBot="1">
      <c r="B28" s="814" t="s">
        <v>445</v>
      </c>
      <c r="C28" s="456" t="s">
        <v>451</v>
      </c>
      <c r="D28" s="596"/>
      <c r="E28" s="596"/>
      <c r="F28" s="596"/>
      <c r="G28" s="657"/>
      <c r="H28" s="813" t="s">
        <v>651</v>
      </c>
      <c r="M28" s="595" t="s">
        <v>654</v>
      </c>
      <c r="N28" s="595"/>
      <c r="O28" s="595"/>
      <c r="P28" s="595"/>
      <c r="Q28" s="595"/>
      <c r="R28" s="595"/>
      <c r="U28" s="595" t="s">
        <v>716</v>
      </c>
      <c r="V28" s="595"/>
      <c r="Y28" s="134" t="s">
        <v>75</v>
      </c>
      <c r="Z28" s="835" t="s">
        <v>463</v>
      </c>
      <c r="AA28" s="306"/>
      <c r="AB28" s="13">
        <v>0.96</v>
      </c>
      <c r="AC28" s="84">
        <v>0.92</v>
      </c>
      <c r="AD28" s="13">
        <v>0.88</v>
      </c>
      <c r="AE28" s="84">
        <v>0.85</v>
      </c>
    </row>
    <row r="29" spans="2:31" ht="15.6">
      <c r="B29" s="636"/>
      <c r="C29" s="107" t="s">
        <v>236</v>
      </c>
      <c r="D29" s="106" t="s">
        <v>452</v>
      </c>
      <c r="E29" s="106" t="s">
        <v>453</v>
      </c>
      <c r="F29" s="106" t="s">
        <v>454</v>
      </c>
      <c r="G29" s="106" t="s">
        <v>455</v>
      </c>
      <c r="H29" s="813"/>
      <c r="M29" s="174" t="s">
        <v>641</v>
      </c>
      <c r="N29" s="172" t="s">
        <v>181</v>
      </c>
      <c r="O29" s="172" t="s">
        <v>180</v>
      </c>
      <c r="P29" s="172" t="s">
        <v>104</v>
      </c>
      <c r="Q29" s="172" t="s">
        <v>101</v>
      </c>
      <c r="R29" s="172" t="s">
        <v>195</v>
      </c>
      <c r="U29" s="195" t="s">
        <v>717</v>
      </c>
      <c r="V29" s="172" t="s">
        <v>641</v>
      </c>
      <c r="Y29" s="828" t="s">
        <v>473</v>
      </c>
      <c r="Z29" s="523"/>
      <c r="AA29" s="523"/>
      <c r="AB29" s="523"/>
      <c r="AC29" s="523"/>
      <c r="AD29" s="523"/>
      <c r="AE29" s="523"/>
    </row>
    <row r="30" spans="2:31" ht="13.2" customHeight="1">
      <c r="B30" s="637"/>
      <c r="C30" s="108" t="s">
        <v>87</v>
      </c>
      <c r="D30" s="81" t="s">
        <v>88</v>
      </c>
      <c r="E30" s="81" t="s">
        <v>382</v>
      </c>
      <c r="F30" s="81" t="s">
        <v>419</v>
      </c>
      <c r="G30" s="81" t="s">
        <v>420</v>
      </c>
      <c r="H30" s="150" t="s">
        <v>652</v>
      </c>
      <c r="M30" s="20" t="s">
        <v>642</v>
      </c>
      <c r="N30" s="149">
        <v>1</v>
      </c>
      <c r="O30" s="149">
        <v>1</v>
      </c>
      <c r="P30" s="149">
        <v>1</v>
      </c>
      <c r="Q30" s="149">
        <v>1</v>
      </c>
      <c r="R30" s="149">
        <v>1</v>
      </c>
      <c r="U30" s="20" t="s">
        <v>642</v>
      </c>
      <c r="V30" s="193" t="s">
        <v>642</v>
      </c>
      <c r="Y30" s="829" t="s">
        <v>466</v>
      </c>
      <c r="Z30" s="442"/>
      <c r="AA30" s="442"/>
      <c r="AB30" s="442"/>
      <c r="AC30" s="442"/>
      <c r="AD30" s="442"/>
      <c r="AE30" s="442"/>
    </row>
    <row r="31" spans="2:31">
      <c r="B31" s="631" t="s">
        <v>238</v>
      </c>
      <c r="C31" s="631"/>
      <c r="D31" s="631"/>
      <c r="E31" s="631"/>
      <c r="F31" s="631"/>
      <c r="G31" s="631"/>
      <c r="H31" s="631"/>
      <c r="M31" s="20" t="s">
        <v>643</v>
      </c>
      <c r="N31" s="258">
        <v>0.82</v>
      </c>
      <c r="O31" s="258">
        <v>1.46</v>
      </c>
      <c r="P31" s="258">
        <v>1.42</v>
      </c>
      <c r="Q31" s="258">
        <v>0.85</v>
      </c>
      <c r="R31" s="258">
        <v>1.63</v>
      </c>
      <c r="U31" s="20" t="s">
        <v>718</v>
      </c>
      <c r="V31" s="192" t="s">
        <v>646</v>
      </c>
      <c r="Y31" s="152"/>
    </row>
    <row r="32" spans="2:31">
      <c r="B32" s="89" t="s">
        <v>680</v>
      </c>
      <c r="C32" s="11">
        <v>-6.6</v>
      </c>
      <c r="D32" s="11">
        <v>0.05</v>
      </c>
      <c r="E32" s="11">
        <v>0.24</v>
      </c>
      <c r="F32" s="11">
        <v>0.41</v>
      </c>
      <c r="G32" s="11">
        <v>0.09</v>
      </c>
      <c r="H32" s="12">
        <v>0.52</v>
      </c>
      <c r="M32" s="20" t="s">
        <v>645</v>
      </c>
      <c r="N32" s="258">
        <v>1.05</v>
      </c>
      <c r="O32" s="258">
        <v>0.83</v>
      </c>
      <c r="P32" s="258">
        <v>0.91</v>
      </c>
      <c r="Q32" s="258">
        <v>0.86</v>
      </c>
      <c r="R32" s="258">
        <v>0.8</v>
      </c>
      <c r="U32" t="s">
        <v>719</v>
      </c>
      <c r="V32" s="192" t="s">
        <v>646</v>
      </c>
      <c r="Y32" s="152"/>
    </row>
    <row r="33" spans="2:25" ht="13.8" thickBot="1">
      <c r="B33" s="176" t="s">
        <v>681</v>
      </c>
      <c r="C33" s="177">
        <v>-9.5299999999999994</v>
      </c>
      <c r="D33" s="177">
        <v>0.4</v>
      </c>
      <c r="E33" s="177">
        <v>0.26</v>
      </c>
      <c r="F33" s="177">
        <v>0.45</v>
      </c>
      <c r="G33" s="177">
        <v>0.04</v>
      </c>
      <c r="H33" s="178">
        <v>0.24</v>
      </c>
      <c r="M33" s="20" t="s">
        <v>644</v>
      </c>
      <c r="N33" s="258">
        <v>0.91</v>
      </c>
      <c r="O33" s="258">
        <v>1.02</v>
      </c>
      <c r="P33" s="258">
        <v>0.82</v>
      </c>
      <c r="Q33" s="258">
        <v>0.8</v>
      </c>
      <c r="R33" s="258">
        <v>0.68</v>
      </c>
      <c r="U33" t="s">
        <v>720</v>
      </c>
      <c r="V33" s="192" t="s">
        <v>644</v>
      </c>
      <c r="Y33" s="152"/>
    </row>
    <row r="34" spans="2:25" ht="14.4" thickTop="1" thickBot="1">
      <c r="B34" s="175" t="s">
        <v>682</v>
      </c>
      <c r="C34" s="254">
        <v>-7.27</v>
      </c>
      <c r="D34" s="254">
        <v>0.05</v>
      </c>
      <c r="E34" s="254">
        <v>0.24</v>
      </c>
      <c r="F34" s="254">
        <v>0.41</v>
      </c>
      <c r="G34" s="254">
        <v>0.09</v>
      </c>
      <c r="H34" s="255">
        <v>0.52</v>
      </c>
      <c r="M34" s="161" t="s">
        <v>646</v>
      </c>
      <c r="N34" s="257">
        <v>1.19</v>
      </c>
      <c r="O34" s="257">
        <v>1</v>
      </c>
      <c r="P34" s="257">
        <v>1.41</v>
      </c>
      <c r="Q34" s="257">
        <v>1.59</v>
      </c>
      <c r="R34" s="257">
        <v>1</v>
      </c>
      <c r="U34" t="s">
        <v>721</v>
      </c>
      <c r="V34" s="192" t="s">
        <v>645</v>
      </c>
      <c r="Y34" s="152"/>
    </row>
    <row r="35" spans="2:25" ht="13.8" thickBot="1">
      <c r="B35" s="92" t="s">
        <v>683</v>
      </c>
      <c r="C35" s="266">
        <v>-10.199999999999999</v>
      </c>
      <c r="D35" s="266">
        <v>0.4</v>
      </c>
      <c r="E35" s="266">
        <v>0.26</v>
      </c>
      <c r="F35" s="266">
        <v>0.45</v>
      </c>
      <c r="G35" s="266">
        <v>0.04</v>
      </c>
      <c r="H35" s="267">
        <v>0.24</v>
      </c>
      <c r="U35" t="s">
        <v>722</v>
      </c>
      <c r="V35" s="192" t="s">
        <v>643</v>
      </c>
      <c r="Y35" s="152"/>
    </row>
    <row r="36" spans="2:25">
      <c r="B36" s="80"/>
      <c r="U36" t="s">
        <v>723</v>
      </c>
      <c r="V36" s="192" t="s">
        <v>644</v>
      </c>
      <c r="Y36" s="152"/>
    </row>
    <row r="37" spans="2:25">
      <c r="B37" s="80" t="s">
        <v>457</v>
      </c>
      <c r="U37" t="s">
        <v>724</v>
      </c>
      <c r="V37" s="192" t="s">
        <v>643</v>
      </c>
      <c r="Y37" s="152"/>
    </row>
    <row r="38" spans="2:25" ht="13.8" thickBot="1">
      <c r="U38" t="s">
        <v>725</v>
      </c>
      <c r="V38" s="192" t="s">
        <v>646</v>
      </c>
    </row>
    <row r="39" spans="2:25" ht="13.8" thickTop="1">
      <c r="B39" s="585" t="s">
        <v>582</v>
      </c>
      <c r="C39" s="696"/>
      <c r="D39" s="696"/>
      <c r="E39" s="696"/>
      <c r="F39" s="696"/>
      <c r="G39" s="696"/>
      <c r="H39" s="696"/>
      <c r="I39" s="696"/>
      <c r="J39" s="696"/>
      <c r="K39" s="696"/>
      <c r="L39" s="116"/>
      <c r="M39" s="585" t="s">
        <v>674</v>
      </c>
      <c r="N39" s="585"/>
      <c r="O39" s="585"/>
      <c r="P39" s="585"/>
      <c r="Q39" s="585"/>
      <c r="R39" s="585"/>
      <c r="U39" t="s">
        <v>726</v>
      </c>
      <c r="V39" s="192" t="s">
        <v>645</v>
      </c>
    </row>
    <row r="40" spans="2:25" ht="13.8" thickBot="1">
      <c r="B40" s="698"/>
      <c r="C40" s="698"/>
      <c r="D40" s="698"/>
      <c r="E40" s="698"/>
      <c r="F40" s="698"/>
      <c r="G40" s="698"/>
      <c r="H40" s="698"/>
      <c r="I40" s="698"/>
      <c r="J40" s="698"/>
      <c r="K40" s="698"/>
      <c r="L40" s="116"/>
      <c r="M40" s="586"/>
      <c r="N40" s="586"/>
      <c r="O40" s="586"/>
      <c r="P40" s="586"/>
      <c r="Q40" s="586"/>
      <c r="R40" s="586"/>
      <c r="U40" t="s">
        <v>727</v>
      </c>
      <c r="V40" s="192" t="s">
        <v>644</v>
      </c>
    </row>
    <row r="41" spans="2:25" ht="13.2" customHeight="1">
      <c r="B41" s="820" t="s">
        <v>69</v>
      </c>
      <c r="C41" s="673" t="s">
        <v>67</v>
      </c>
      <c r="D41" s="570" t="s">
        <v>456</v>
      </c>
      <c r="E41" s="705"/>
      <c r="F41" s="705"/>
      <c r="G41" s="705"/>
      <c r="H41" s="705"/>
      <c r="I41" s="705"/>
      <c r="J41" s="705"/>
      <c r="K41" s="705"/>
      <c r="L41" s="1"/>
      <c r="M41" s="282" t="s">
        <v>42</v>
      </c>
      <c r="N41" s="597"/>
      <c r="O41" s="456" t="s">
        <v>673</v>
      </c>
      <c r="P41" s="596"/>
      <c r="Q41" s="596"/>
      <c r="R41" s="596"/>
      <c r="U41" t="s">
        <v>728</v>
      </c>
      <c r="V41" s="192" t="s">
        <v>646</v>
      </c>
    </row>
    <row r="42" spans="2:25" ht="13.8" thickBot="1">
      <c r="B42" s="731"/>
      <c r="C42" s="732"/>
      <c r="D42" s="472" t="s">
        <v>47</v>
      </c>
      <c r="E42" s="337"/>
      <c r="F42" s="337"/>
      <c r="G42" s="337"/>
      <c r="H42" s="337"/>
      <c r="I42" s="337"/>
      <c r="J42" s="337"/>
      <c r="K42" s="337"/>
      <c r="L42" s="1"/>
      <c r="M42" s="593"/>
      <c r="N42" s="594"/>
      <c r="O42" s="166" t="s">
        <v>73</v>
      </c>
      <c r="P42" s="166" t="s">
        <v>74</v>
      </c>
      <c r="Q42" s="166" t="s">
        <v>449</v>
      </c>
      <c r="R42" s="166" t="s">
        <v>75</v>
      </c>
      <c r="U42" t="s">
        <v>729</v>
      </c>
      <c r="V42" s="192" t="s">
        <v>644</v>
      </c>
    </row>
    <row r="43" spans="2:25">
      <c r="B43" s="816" t="s">
        <v>49</v>
      </c>
      <c r="C43" s="817"/>
      <c r="D43" s="83" t="s">
        <v>695</v>
      </c>
      <c r="E43" s="83" t="s">
        <v>696</v>
      </c>
      <c r="F43" s="83" t="s">
        <v>697</v>
      </c>
      <c r="G43" s="83" t="s">
        <v>698</v>
      </c>
      <c r="H43" s="83" t="s">
        <v>699</v>
      </c>
      <c r="I43" s="83" t="s">
        <v>700</v>
      </c>
      <c r="J43" s="83" t="s">
        <v>701</v>
      </c>
      <c r="K43" s="112" t="s">
        <v>702</v>
      </c>
      <c r="L43" s="99"/>
      <c r="M43" s="33" t="s">
        <v>655</v>
      </c>
      <c r="N43" s="1"/>
      <c r="O43" s="259">
        <v>0.1</v>
      </c>
      <c r="P43" s="259">
        <v>0.1</v>
      </c>
      <c r="Q43" s="259">
        <v>0.1</v>
      </c>
      <c r="R43" s="260">
        <v>0.1</v>
      </c>
      <c r="U43" s="196" t="s">
        <v>730</v>
      </c>
      <c r="V43" s="197" t="s">
        <v>643</v>
      </c>
    </row>
    <row r="44" spans="2:25">
      <c r="B44" s="670" t="s">
        <v>41</v>
      </c>
      <c r="C44" s="449"/>
      <c r="D44" s="87">
        <v>0.42099999999999999</v>
      </c>
      <c r="E44" s="87">
        <v>0.44</v>
      </c>
      <c r="F44" s="87">
        <v>0.54900000000000004</v>
      </c>
      <c r="G44" s="87">
        <v>0.54600000000000004</v>
      </c>
      <c r="H44" s="87">
        <v>0.33800000000000002</v>
      </c>
      <c r="I44" s="87">
        <v>0.374</v>
      </c>
      <c r="J44" s="87">
        <v>0.45</v>
      </c>
      <c r="K44" s="88">
        <v>0.48299999999999998</v>
      </c>
      <c r="L44" s="118"/>
      <c r="M44" s="33" t="s">
        <v>656</v>
      </c>
      <c r="N44" s="1"/>
      <c r="O44" s="261">
        <v>1.9</v>
      </c>
      <c r="P44" s="261">
        <v>1.3</v>
      </c>
      <c r="Q44" s="261">
        <v>1.6</v>
      </c>
      <c r="R44" s="262">
        <v>1.5</v>
      </c>
      <c r="U44" t="s">
        <v>731</v>
      </c>
      <c r="V44" s="192" t="s">
        <v>645</v>
      </c>
    </row>
    <row r="45" spans="2:25">
      <c r="B45" s="691" t="s">
        <v>40</v>
      </c>
      <c r="C45" s="449"/>
      <c r="D45" s="3">
        <v>4.4999999999999998E-2</v>
      </c>
      <c r="E45" s="3">
        <v>2.3E-2</v>
      </c>
      <c r="F45" s="3">
        <v>3.7999999999999999E-2</v>
      </c>
      <c r="G45" s="3">
        <v>0.02</v>
      </c>
      <c r="H45" s="3">
        <v>4.1000000000000002E-2</v>
      </c>
      <c r="I45" s="3">
        <v>0.03</v>
      </c>
      <c r="J45" s="3">
        <v>4.9000000000000002E-2</v>
      </c>
      <c r="K45" s="41">
        <v>0.03</v>
      </c>
      <c r="L45" s="24"/>
      <c r="M45" s="33" t="s">
        <v>657</v>
      </c>
      <c r="N45" s="1"/>
      <c r="O45" s="261">
        <v>10.3</v>
      </c>
      <c r="P45" s="261">
        <v>9.8000000000000007</v>
      </c>
      <c r="Q45" s="261">
        <v>8.8000000000000007</v>
      </c>
      <c r="R45" s="262">
        <v>9.5</v>
      </c>
      <c r="U45" t="s">
        <v>732</v>
      </c>
      <c r="V45" s="192" t="s">
        <v>646</v>
      </c>
    </row>
    <row r="46" spans="2:25" ht="13.8" thickBot="1">
      <c r="B46" s="691" t="s">
        <v>39</v>
      </c>
      <c r="C46" s="449"/>
      <c r="D46" s="3">
        <v>0.34300000000000003</v>
      </c>
      <c r="E46" s="3">
        <v>0.26200000000000001</v>
      </c>
      <c r="F46" s="3">
        <v>0.28000000000000003</v>
      </c>
      <c r="G46" s="3">
        <v>0.20399999999999999</v>
      </c>
      <c r="H46" s="3">
        <v>0.44</v>
      </c>
      <c r="I46" s="3">
        <v>0.33500000000000002</v>
      </c>
      <c r="J46" s="3">
        <v>0.34699999999999998</v>
      </c>
      <c r="K46" s="41">
        <v>0.24399999999999999</v>
      </c>
      <c r="L46" s="24"/>
      <c r="M46" s="162" t="s">
        <v>658</v>
      </c>
      <c r="N46" s="163"/>
      <c r="O46" s="263">
        <v>22.3</v>
      </c>
      <c r="P46" s="263">
        <v>19.8</v>
      </c>
      <c r="Q46" s="263">
        <v>23.1</v>
      </c>
      <c r="R46" s="264">
        <v>21.5</v>
      </c>
      <c r="U46" t="s">
        <v>733</v>
      </c>
      <c r="V46" s="192" t="s">
        <v>643</v>
      </c>
    </row>
    <row r="47" spans="2:25" ht="13.8" thickTop="1">
      <c r="B47" s="691" t="s">
        <v>93</v>
      </c>
      <c r="C47" s="449"/>
      <c r="D47" s="3">
        <v>0.126</v>
      </c>
      <c r="E47" s="3">
        <v>0.04</v>
      </c>
      <c r="F47" s="3">
        <v>7.5999999999999998E-2</v>
      </c>
      <c r="G47" s="3">
        <v>3.2000000000000001E-2</v>
      </c>
      <c r="H47" s="3">
        <v>0.121</v>
      </c>
      <c r="I47" s="3">
        <v>4.3999999999999997E-2</v>
      </c>
      <c r="J47" s="3">
        <v>9.9000000000000005E-2</v>
      </c>
      <c r="K47" s="41">
        <v>3.2000000000000001E-2</v>
      </c>
      <c r="L47" s="24"/>
      <c r="M47" s="33" t="s">
        <v>659</v>
      </c>
      <c r="N47" s="1"/>
      <c r="O47" s="167">
        <f>SUM(O43:O46)</f>
        <v>34.6</v>
      </c>
      <c r="P47" s="167">
        <f>SUM(P43:P46)</f>
        <v>31</v>
      </c>
      <c r="Q47" s="167">
        <f>SUM(Q43:Q46)</f>
        <v>33.6</v>
      </c>
      <c r="R47" s="167">
        <f>SUM(R43:R46)</f>
        <v>32.6</v>
      </c>
      <c r="U47" t="s">
        <v>734</v>
      </c>
      <c r="V47" s="192" t="s">
        <v>646</v>
      </c>
    </row>
    <row r="48" spans="2:25" ht="13.8" thickBot="1">
      <c r="B48" s="691" t="s">
        <v>255</v>
      </c>
      <c r="C48" s="336"/>
      <c r="D48" s="3">
        <v>6.5000000000000002E-2</v>
      </c>
      <c r="E48" s="3">
        <v>0.23499999999999999</v>
      </c>
      <c r="F48" s="3">
        <v>5.7000000000000002E-2</v>
      </c>
      <c r="G48" s="3">
        <v>0.19800000000000001</v>
      </c>
      <c r="H48" s="3">
        <v>0.06</v>
      </c>
      <c r="I48" s="3">
        <v>0.217</v>
      </c>
      <c r="J48" s="3">
        <v>5.5E-2</v>
      </c>
      <c r="K48" s="41">
        <v>0.21099999999999999</v>
      </c>
      <c r="L48" s="24"/>
      <c r="M48" s="162" t="s">
        <v>660</v>
      </c>
      <c r="N48" s="163"/>
      <c r="O48" s="168">
        <f>100-O47</f>
        <v>65.400000000000006</v>
      </c>
      <c r="P48" s="168">
        <f>100-P47</f>
        <v>69</v>
      </c>
      <c r="Q48" s="168">
        <f>100-Q47</f>
        <v>66.400000000000006</v>
      </c>
      <c r="R48" s="168">
        <f>100-R47</f>
        <v>67.400000000000006</v>
      </c>
      <c r="U48" t="s">
        <v>735</v>
      </c>
      <c r="V48" s="192" t="s">
        <v>644</v>
      </c>
    </row>
    <row r="49" spans="2:22" ht="14.4" thickTop="1" thickBot="1">
      <c r="B49" s="836" t="s">
        <v>254</v>
      </c>
      <c r="C49" s="462"/>
      <c r="D49" s="462"/>
      <c r="E49" s="462"/>
      <c r="F49" s="462"/>
      <c r="G49" s="462"/>
      <c r="H49" s="462"/>
      <c r="I49" s="462"/>
      <c r="J49" s="462"/>
      <c r="K49" s="462"/>
      <c r="L49" s="24"/>
      <c r="M49" s="165" t="s">
        <v>661</v>
      </c>
      <c r="N49" s="164"/>
      <c r="O49" s="171">
        <f>SUM(O47:O48)</f>
        <v>100</v>
      </c>
      <c r="P49" s="171">
        <f>SUM(P47:P48)</f>
        <v>100</v>
      </c>
      <c r="Q49" s="171">
        <f>SUM(Q47:Q48)</f>
        <v>100</v>
      </c>
      <c r="R49" s="171">
        <f>SUM(R47:R48)</f>
        <v>100</v>
      </c>
      <c r="U49" t="s">
        <v>736</v>
      </c>
      <c r="V49" s="192" t="s">
        <v>645</v>
      </c>
    </row>
    <row r="50" spans="2:22" ht="13.8" thickBot="1">
      <c r="B50" s="655" t="s">
        <v>49</v>
      </c>
      <c r="C50" s="656"/>
      <c r="D50" s="543" t="s">
        <v>48</v>
      </c>
      <c r="E50" s="291"/>
      <c r="F50" s="291"/>
      <c r="G50" s="291"/>
      <c r="H50" s="291"/>
      <c r="I50" s="291"/>
      <c r="J50" s="291"/>
      <c r="K50" s="285"/>
      <c r="U50" t="s">
        <v>737</v>
      </c>
      <c r="V50" s="192" t="s">
        <v>646</v>
      </c>
    </row>
    <row r="51" spans="2:22" ht="13.8" thickTop="1">
      <c r="B51" s="596"/>
      <c r="C51" s="657"/>
      <c r="D51" s="83" t="s">
        <v>695</v>
      </c>
      <c r="E51" s="83" t="s">
        <v>696</v>
      </c>
      <c r="F51" s="83" t="s">
        <v>697</v>
      </c>
      <c r="G51" s="83" t="s">
        <v>698</v>
      </c>
      <c r="H51" s="83" t="s">
        <v>699</v>
      </c>
      <c r="I51" s="83" t="s">
        <v>700</v>
      </c>
      <c r="J51" s="83" t="s">
        <v>701</v>
      </c>
      <c r="K51" s="112" t="s">
        <v>702</v>
      </c>
      <c r="L51" s="5"/>
      <c r="M51" s="585" t="s">
        <v>675</v>
      </c>
      <c r="N51" s="585"/>
      <c r="O51" s="585"/>
      <c r="P51" s="585"/>
      <c r="Q51" s="585"/>
      <c r="R51" s="585"/>
      <c r="U51" t="s">
        <v>738</v>
      </c>
      <c r="V51" s="192" t="s">
        <v>645</v>
      </c>
    </row>
    <row r="52" spans="2:22" ht="13.8" thickBot="1">
      <c r="B52" s="670" t="s">
        <v>41</v>
      </c>
      <c r="C52" s="449"/>
      <c r="D52" s="249">
        <v>5.4000000000000006E-2</v>
      </c>
      <c r="E52" s="249">
        <v>5.7000000000000002E-2</v>
      </c>
      <c r="F52" s="249">
        <v>6.9000000000000006E-2</v>
      </c>
      <c r="G52" s="249">
        <v>7.6999999999999999E-2</v>
      </c>
      <c r="H52" s="249">
        <v>2.8999999999999998E-2</v>
      </c>
      <c r="I52" s="249">
        <v>5.5E-2</v>
      </c>
      <c r="J52" s="249">
        <v>4.5999999999999999E-2</v>
      </c>
      <c r="K52" s="250">
        <v>7.0000000000000007E-2</v>
      </c>
      <c r="L52" s="99"/>
      <c r="M52" s="586"/>
      <c r="N52" s="586"/>
      <c r="O52" s="586"/>
      <c r="P52" s="586"/>
      <c r="Q52" s="586"/>
      <c r="R52" s="586"/>
      <c r="U52" t="s">
        <v>739</v>
      </c>
      <c r="V52" s="192" t="s">
        <v>644</v>
      </c>
    </row>
    <row r="53" spans="2:22">
      <c r="B53" s="691" t="s">
        <v>40</v>
      </c>
      <c r="C53" s="449"/>
      <c r="D53" s="249">
        <v>8.0000000000000002E-3</v>
      </c>
      <c r="E53" s="249">
        <v>0</v>
      </c>
      <c r="F53" s="249">
        <v>6.0000000000000001E-3</v>
      </c>
      <c r="G53" s="249">
        <v>2E-3</v>
      </c>
      <c r="H53" s="249">
        <v>4.0000000000000001E-3</v>
      </c>
      <c r="I53" s="249">
        <v>9.0000000000000011E-3</v>
      </c>
      <c r="J53" s="249">
        <v>1E-3</v>
      </c>
      <c r="K53" s="250">
        <v>1E-3</v>
      </c>
      <c r="M53" s="282" t="s">
        <v>42</v>
      </c>
      <c r="N53" s="597"/>
      <c r="O53" s="456" t="s">
        <v>673</v>
      </c>
      <c r="P53" s="596"/>
      <c r="Q53" s="596"/>
      <c r="R53" s="596"/>
      <c r="U53" t="s">
        <v>740</v>
      </c>
      <c r="V53" s="192" t="s">
        <v>644</v>
      </c>
    </row>
    <row r="54" spans="2:22" ht="13.8" thickBot="1">
      <c r="B54" s="691" t="s">
        <v>39</v>
      </c>
      <c r="C54" s="449"/>
      <c r="D54" s="249">
        <v>0.56799999999999995</v>
      </c>
      <c r="E54" s="249">
        <v>0.55399999999999994</v>
      </c>
      <c r="F54" s="249">
        <v>0.22800000000000001</v>
      </c>
      <c r="G54" s="249">
        <v>0.22600000000000001</v>
      </c>
      <c r="H54" s="249">
        <v>0.67599999999999993</v>
      </c>
      <c r="I54" s="249">
        <v>0.59299999999999997</v>
      </c>
      <c r="J54" s="249">
        <v>0.32200000000000001</v>
      </c>
      <c r="K54" s="250">
        <v>0.214</v>
      </c>
      <c r="M54" s="593"/>
      <c r="N54" s="594"/>
      <c r="O54" s="166" t="s">
        <v>73</v>
      </c>
      <c r="P54" s="166" t="s">
        <v>74</v>
      </c>
      <c r="Q54" s="166" t="s">
        <v>449</v>
      </c>
      <c r="R54" s="166" t="s">
        <v>75</v>
      </c>
      <c r="U54" t="s">
        <v>741</v>
      </c>
      <c r="V54" s="192" t="s">
        <v>644</v>
      </c>
    </row>
    <row r="55" spans="2:22" ht="13.8" thickBot="1">
      <c r="B55" s="691" t="s">
        <v>93</v>
      </c>
      <c r="C55" s="449"/>
      <c r="D55" s="251">
        <v>1.2E-2</v>
      </c>
      <c r="E55" s="251">
        <v>3.7000000000000005E-2</v>
      </c>
      <c r="F55" s="251">
        <v>1.2E-2</v>
      </c>
      <c r="G55" s="251">
        <v>2.7999999999999997E-2</v>
      </c>
      <c r="H55" s="251">
        <v>1.3000000000000001E-2</v>
      </c>
      <c r="I55" s="251">
        <v>3.7999999999999999E-2</v>
      </c>
      <c r="J55" s="251">
        <v>1.1000000000000001E-2</v>
      </c>
      <c r="K55" s="248">
        <v>4.9000000000000002E-2</v>
      </c>
      <c r="M55" s="33" t="s">
        <v>655</v>
      </c>
      <c r="N55" s="1"/>
      <c r="O55" s="259">
        <v>1</v>
      </c>
      <c r="P55" s="259">
        <v>1.5</v>
      </c>
      <c r="Q55" s="259">
        <v>1</v>
      </c>
      <c r="R55" s="260">
        <v>1</v>
      </c>
      <c r="U55" s="194" t="s">
        <v>742</v>
      </c>
      <c r="V55" s="198" t="s">
        <v>645</v>
      </c>
    </row>
    <row r="56" spans="2:22" ht="13.8" thickBot="1">
      <c r="B56" s="730" t="s">
        <v>255</v>
      </c>
      <c r="C56" s="440"/>
      <c r="D56" s="252">
        <v>0.35899999999999999</v>
      </c>
      <c r="E56" s="252">
        <v>0.35200000000000004</v>
      </c>
      <c r="F56" s="252">
        <v>0.68400000000000005</v>
      </c>
      <c r="G56" s="252">
        <v>0.66599999999999993</v>
      </c>
      <c r="H56" s="252">
        <v>0.27699999999999997</v>
      </c>
      <c r="I56" s="252">
        <v>0.30499999999999999</v>
      </c>
      <c r="J56" s="252">
        <v>0.62</v>
      </c>
      <c r="K56" s="253">
        <v>0.66700000000000004</v>
      </c>
      <c r="L56" s="36"/>
      <c r="M56" s="33" t="s">
        <v>656</v>
      </c>
      <c r="N56" s="1"/>
      <c r="O56" s="261">
        <v>3.8</v>
      </c>
      <c r="P56" s="261">
        <v>9</v>
      </c>
      <c r="Q56" s="261">
        <v>3.1</v>
      </c>
      <c r="R56" s="262">
        <v>7.7</v>
      </c>
    </row>
    <row r="57" spans="2:22">
      <c r="B57" s="59" t="s">
        <v>581</v>
      </c>
      <c r="L57" s="36"/>
      <c r="M57" s="33" t="s">
        <v>657</v>
      </c>
      <c r="N57" s="1"/>
      <c r="O57" s="261">
        <v>18.100000000000001</v>
      </c>
      <c r="P57" s="261">
        <v>9</v>
      </c>
      <c r="Q57" s="261">
        <v>10.4</v>
      </c>
      <c r="R57" s="262">
        <v>19.600000000000001</v>
      </c>
    </row>
    <row r="58" spans="2:22" ht="13.8" thickBot="1">
      <c r="L58" s="36"/>
      <c r="M58" s="162" t="s">
        <v>658</v>
      </c>
      <c r="N58" s="163"/>
      <c r="O58" s="263">
        <v>8.6</v>
      </c>
      <c r="P58" s="263">
        <v>14.9</v>
      </c>
      <c r="Q58" s="263">
        <v>16.7</v>
      </c>
      <c r="R58" s="264">
        <v>21.7</v>
      </c>
    </row>
    <row r="59" spans="2:22" ht="14.4" thickTop="1" thickBot="1">
      <c r="M59" s="33" t="s">
        <v>659</v>
      </c>
      <c r="N59" s="1"/>
      <c r="O59" s="169">
        <f>SUM(O55:O58)</f>
        <v>31.5</v>
      </c>
      <c r="P59" s="167">
        <f>SUM(P55:P58)</f>
        <v>34.4</v>
      </c>
      <c r="Q59" s="167">
        <f>SUM(Q55:Q58)</f>
        <v>31.2</v>
      </c>
      <c r="R59" s="167">
        <f>SUM(R55:R58)</f>
        <v>50</v>
      </c>
    </row>
    <row r="60" spans="2:22" ht="14.4" thickTop="1" thickBot="1">
      <c r="B60" s="585" t="s">
        <v>585</v>
      </c>
      <c r="C60" s="696"/>
      <c r="D60" s="696"/>
      <c r="E60" s="696"/>
      <c r="F60" s="696"/>
      <c r="G60" s="696"/>
      <c r="H60" s="696"/>
      <c r="I60" s="696"/>
      <c r="J60" s="696"/>
      <c r="K60" s="696"/>
      <c r="M60" s="162" t="s">
        <v>660</v>
      </c>
      <c r="N60" s="163"/>
      <c r="O60" s="170">
        <f>100-O59</f>
        <v>68.5</v>
      </c>
      <c r="P60" s="168">
        <f>100-P59</f>
        <v>65.599999999999994</v>
      </c>
      <c r="Q60" s="168">
        <f>100-Q59</f>
        <v>68.8</v>
      </c>
      <c r="R60" s="168">
        <f>100-R59</f>
        <v>50</v>
      </c>
    </row>
    <row r="61" spans="2:22" ht="14.4" thickTop="1" thickBot="1">
      <c r="B61" s="698"/>
      <c r="C61" s="698"/>
      <c r="D61" s="698"/>
      <c r="E61" s="698"/>
      <c r="F61" s="698"/>
      <c r="G61" s="698"/>
      <c r="H61" s="698"/>
      <c r="I61" s="698"/>
      <c r="J61" s="698"/>
      <c r="K61" s="698"/>
      <c r="M61" s="165" t="s">
        <v>661</v>
      </c>
      <c r="N61" s="164"/>
      <c r="O61" s="171">
        <f>SUM(O59:O60)</f>
        <v>100</v>
      </c>
      <c r="P61" s="171">
        <f>SUM(P59:P60)</f>
        <v>100</v>
      </c>
      <c r="Q61" s="171">
        <f>SUM(Q59:Q60)</f>
        <v>100</v>
      </c>
      <c r="R61" s="171">
        <f>SUM(R59:R60)</f>
        <v>100</v>
      </c>
    </row>
    <row r="62" spans="2:22" ht="13.8" customHeight="1" thickBot="1">
      <c r="B62" s="820" t="s">
        <v>69</v>
      </c>
      <c r="C62" s="673" t="s">
        <v>67</v>
      </c>
      <c r="D62" s="570" t="s">
        <v>456</v>
      </c>
      <c r="E62" s="705"/>
      <c r="F62" s="705"/>
      <c r="G62" s="705"/>
      <c r="H62" s="705"/>
      <c r="I62" s="705"/>
      <c r="J62" s="705"/>
      <c r="K62" s="705"/>
    </row>
    <row r="63" spans="2:22" ht="13.8" thickTop="1">
      <c r="B63" s="731"/>
      <c r="C63" s="732"/>
      <c r="D63" s="472" t="s">
        <v>47</v>
      </c>
      <c r="E63" s="337"/>
      <c r="F63" s="337"/>
      <c r="G63" s="337"/>
      <c r="H63" s="337"/>
      <c r="I63" s="337"/>
      <c r="J63" s="337"/>
      <c r="K63" s="337"/>
      <c r="M63" s="585" t="s">
        <v>676</v>
      </c>
      <c r="N63" s="668"/>
      <c r="O63" s="668"/>
      <c r="P63" s="668"/>
      <c r="Q63" s="668"/>
      <c r="R63" s="668"/>
    </row>
    <row r="64" spans="2:22" ht="13.8" thickBot="1">
      <c r="B64" s="816" t="s">
        <v>49</v>
      </c>
      <c r="C64" s="817"/>
      <c r="D64" s="83" t="s">
        <v>695</v>
      </c>
      <c r="E64" s="83" t="s">
        <v>696</v>
      </c>
      <c r="F64" s="83" t="s">
        <v>697</v>
      </c>
      <c r="G64" s="83" t="s">
        <v>698</v>
      </c>
      <c r="H64" s="83" t="s">
        <v>699</v>
      </c>
      <c r="I64" s="83" t="s">
        <v>700</v>
      </c>
      <c r="J64" s="83" t="s">
        <v>701</v>
      </c>
      <c r="K64" s="112" t="s">
        <v>702</v>
      </c>
      <c r="M64" s="669"/>
      <c r="N64" s="669"/>
      <c r="O64" s="669"/>
      <c r="P64" s="669"/>
      <c r="Q64" s="669"/>
      <c r="R64" s="669"/>
    </row>
    <row r="65" spans="2:18" ht="15.6" customHeight="1">
      <c r="B65" s="670" t="s">
        <v>395</v>
      </c>
      <c r="C65" s="449"/>
      <c r="D65" s="87">
        <v>1E-3</v>
      </c>
      <c r="E65" s="87">
        <v>3.0000000000000001E-3</v>
      </c>
      <c r="F65" s="87">
        <v>1E-3</v>
      </c>
      <c r="G65" s="87">
        <v>1E-3</v>
      </c>
      <c r="H65" s="87">
        <v>1E-3</v>
      </c>
      <c r="I65" s="87">
        <v>1E-3</v>
      </c>
      <c r="J65" s="87">
        <v>1E-3</v>
      </c>
      <c r="K65" s="88">
        <v>1E-3</v>
      </c>
      <c r="M65" s="820" t="s">
        <v>69</v>
      </c>
      <c r="N65" s="821" t="s">
        <v>67</v>
      </c>
      <c r="O65" s="822" t="s">
        <v>678</v>
      </c>
      <c r="P65" s="822"/>
      <c r="Q65" s="822"/>
      <c r="R65" s="823"/>
    </row>
    <row r="66" spans="2:18">
      <c r="B66" s="691" t="s">
        <v>262</v>
      </c>
      <c r="C66" s="449"/>
      <c r="D66" s="3">
        <v>3.0000000000000001E-3</v>
      </c>
      <c r="E66" s="3">
        <v>1.7999999999999999E-2</v>
      </c>
      <c r="F66" s="3">
        <v>1E-3</v>
      </c>
      <c r="G66" s="3">
        <v>3.0000000000000001E-3</v>
      </c>
      <c r="H66" s="3">
        <v>1E-3</v>
      </c>
      <c r="I66" s="3">
        <v>2.5999999999999999E-2</v>
      </c>
      <c r="J66" s="3">
        <v>2E-3</v>
      </c>
      <c r="K66" s="41">
        <v>2E-3</v>
      </c>
      <c r="M66" s="731"/>
      <c r="N66" s="732"/>
      <c r="O66" s="534" t="s">
        <v>47</v>
      </c>
      <c r="P66" s="534"/>
      <c r="Q66" s="534" t="s">
        <v>48</v>
      </c>
      <c r="R66" s="818"/>
    </row>
    <row r="67" spans="2:18">
      <c r="B67" s="691" t="s">
        <v>263</v>
      </c>
      <c r="C67" s="449"/>
      <c r="D67" s="3">
        <v>0.76200000000000001</v>
      </c>
      <c r="E67" s="3">
        <v>0.83409999999999995</v>
      </c>
      <c r="F67" s="3">
        <v>0.65300000000000002</v>
      </c>
      <c r="G67" s="3">
        <v>0.89500000000000002</v>
      </c>
      <c r="H67" s="3">
        <v>0.67900000000000005</v>
      </c>
      <c r="I67" s="3">
        <v>0.84699999999999998</v>
      </c>
      <c r="J67" s="3">
        <v>0.74399999999999999</v>
      </c>
      <c r="K67" s="41">
        <v>0.87</v>
      </c>
      <c r="M67" s="719" t="s">
        <v>458</v>
      </c>
      <c r="N67" s="819"/>
      <c r="O67" s="534"/>
      <c r="P67" s="534"/>
      <c r="Q67" s="340"/>
      <c r="R67" s="339"/>
    </row>
    <row r="68" spans="2:18" ht="13.8" customHeight="1">
      <c r="B68" s="691" t="s">
        <v>264</v>
      </c>
      <c r="C68" s="449"/>
      <c r="D68" s="3">
        <v>0.09</v>
      </c>
      <c r="E68" s="3">
        <v>9.1999999999999998E-2</v>
      </c>
      <c r="F68" s="3">
        <v>9.0999999999999998E-2</v>
      </c>
      <c r="G68" s="3">
        <v>6.9000000000000006E-2</v>
      </c>
      <c r="H68" s="3">
        <v>8.8999999999999996E-2</v>
      </c>
      <c r="I68" s="3">
        <v>7.0000000000000007E-2</v>
      </c>
      <c r="J68" s="3">
        <v>7.1999999999999995E-2</v>
      </c>
      <c r="K68" s="41">
        <v>7.0000000000000007E-2</v>
      </c>
      <c r="M68" s="292" t="s">
        <v>73</v>
      </c>
      <c r="N68" s="293"/>
      <c r="O68" s="291">
        <v>2.1000000000000001E-2</v>
      </c>
      <c r="P68" s="291"/>
      <c r="Q68" s="666">
        <v>0.01</v>
      </c>
      <c r="R68" s="618"/>
    </row>
    <row r="69" spans="2:18" ht="13.8" thickBot="1">
      <c r="B69" s="691" t="s">
        <v>265</v>
      </c>
      <c r="C69" s="449"/>
      <c r="D69" s="3">
        <v>3.9E-2</v>
      </c>
      <c r="E69" s="3">
        <v>2.3E-2</v>
      </c>
      <c r="F69" s="3">
        <v>4.4999999999999998E-2</v>
      </c>
      <c r="G69" s="3">
        <v>1.7999999999999999E-2</v>
      </c>
      <c r="H69" s="3">
        <v>5.0999999999999997E-2</v>
      </c>
      <c r="I69" s="3">
        <v>7.0000000000000001E-3</v>
      </c>
      <c r="J69" s="3">
        <v>0.04</v>
      </c>
      <c r="K69" s="41">
        <v>2.3E-2</v>
      </c>
      <c r="M69" s="309" t="s">
        <v>74</v>
      </c>
      <c r="N69" s="310"/>
      <c r="O69" s="525">
        <v>2.1999999999999999E-2</v>
      </c>
      <c r="P69" s="525"/>
      <c r="Q69" s="729">
        <v>1.2E-2</v>
      </c>
      <c r="R69" s="613"/>
    </row>
    <row r="70" spans="2:18" ht="13.8" customHeight="1" thickBot="1">
      <c r="B70" s="691" t="s">
        <v>396</v>
      </c>
      <c r="C70" s="336"/>
      <c r="D70" s="3">
        <v>0.105</v>
      </c>
      <c r="E70" s="3">
        <v>0.03</v>
      </c>
      <c r="F70" s="3">
        <v>0.20899999999999999</v>
      </c>
      <c r="G70" s="3">
        <v>1.4E-2</v>
      </c>
      <c r="H70" s="3">
        <v>0.17899999999999999</v>
      </c>
      <c r="I70" s="3">
        <v>4.9000000000000002E-2</v>
      </c>
      <c r="J70" s="3">
        <v>0.14099999999999999</v>
      </c>
      <c r="K70" s="41">
        <v>3.4000000000000002E-2</v>
      </c>
    </row>
    <row r="71" spans="2:18" ht="13.8" thickTop="1">
      <c r="B71" s="836" t="s">
        <v>584</v>
      </c>
      <c r="C71" s="462"/>
      <c r="D71" s="462"/>
      <c r="E71" s="462"/>
      <c r="F71" s="462"/>
      <c r="G71" s="462"/>
      <c r="H71" s="462"/>
      <c r="I71" s="462"/>
      <c r="J71" s="462"/>
      <c r="K71" s="462"/>
      <c r="M71" s="585" t="s">
        <v>677</v>
      </c>
      <c r="N71" s="668"/>
      <c r="O71" s="668"/>
      <c r="P71" s="668"/>
      <c r="Q71" s="668"/>
      <c r="R71" s="668"/>
    </row>
    <row r="72" spans="2:18" ht="13.8" thickBot="1">
      <c r="B72" s="655" t="s">
        <v>49</v>
      </c>
      <c r="C72" s="656"/>
      <c r="D72" s="543" t="s">
        <v>48</v>
      </c>
      <c r="E72" s="291"/>
      <c r="F72" s="291"/>
      <c r="G72" s="291"/>
      <c r="H72" s="291"/>
      <c r="I72" s="291"/>
      <c r="J72" s="291"/>
      <c r="K72" s="285"/>
      <c r="M72" s="669"/>
      <c r="N72" s="669"/>
      <c r="O72" s="669"/>
      <c r="P72" s="669"/>
      <c r="Q72" s="669"/>
      <c r="R72" s="669"/>
    </row>
    <row r="73" spans="2:18" ht="15.6">
      <c r="B73" s="596"/>
      <c r="C73" s="657"/>
      <c r="D73" s="83" t="s">
        <v>695</v>
      </c>
      <c r="E73" s="83" t="s">
        <v>696</v>
      </c>
      <c r="F73" s="83" t="s">
        <v>697</v>
      </c>
      <c r="G73" s="83" t="s">
        <v>698</v>
      </c>
      <c r="H73" s="83" t="s">
        <v>699</v>
      </c>
      <c r="I73" s="83" t="s">
        <v>700</v>
      </c>
      <c r="J73" s="83" t="s">
        <v>701</v>
      </c>
      <c r="K73" s="112" t="s">
        <v>702</v>
      </c>
      <c r="M73" s="820" t="s">
        <v>69</v>
      </c>
      <c r="N73" s="821" t="s">
        <v>67</v>
      </c>
      <c r="O73" s="822" t="s">
        <v>679</v>
      </c>
      <c r="P73" s="822"/>
      <c r="Q73" s="822"/>
      <c r="R73" s="823"/>
    </row>
    <row r="74" spans="2:18">
      <c r="B74" s="670" t="s">
        <v>395</v>
      </c>
      <c r="C74" s="449"/>
      <c r="D74" s="249">
        <v>2.9000000000000001E-2</v>
      </c>
      <c r="E74" s="249">
        <v>0.122</v>
      </c>
      <c r="F74" s="249">
        <v>0</v>
      </c>
      <c r="G74" s="249">
        <v>1.4999999999999999E-2</v>
      </c>
      <c r="H74" s="249">
        <v>0.08</v>
      </c>
      <c r="I74" s="249">
        <v>6.4000000000000001E-2</v>
      </c>
      <c r="J74" s="249">
        <v>0</v>
      </c>
      <c r="K74" s="250">
        <v>6.9999999999999993E-3</v>
      </c>
      <c r="M74" s="731"/>
      <c r="N74" s="732"/>
      <c r="O74" s="534" t="s">
        <v>47</v>
      </c>
      <c r="P74" s="534"/>
      <c r="Q74" s="534" t="s">
        <v>48</v>
      </c>
      <c r="R74" s="818"/>
    </row>
    <row r="75" spans="2:18">
      <c r="B75" s="691" t="s">
        <v>262</v>
      </c>
      <c r="C75" s="449"/>
      <c r="D75" s="249">
        <v>0</v>
      </c>
      <c r="E75" s="249">
        <v>0</v>
      </c>
      <c r="F75" s="249">
        <v>0</v>
      </c>
      <c r="G75" s="249">
        <v>0</v>
      </c>
      <c r="H75" s="249">
        <v>0</v>
      </c>
      <c r="I75" s="249">
        <v>0</v>
      </c>
      <c r="J75" s="249">
        <v>0</v>
      </c>
      <c r="K75" s="250">
        <v>1.3999999999999999E-2</v>
      </c>
      <c r="M75" s="719" t="s">
        <v>458</v>
      </c>
      <c r="N75" s="819"/>
      <c r="O75" s="534"/>
      <c r="P75" s="534"/>
      <c r="Q75" s="340"/>
      <c r="R75" s="339"/>
    </row>
    <row r="76" spans="2:18">
      <c r="B76" s="691" t="s">
        <v>263</v>
      </c>
      <c r="C76" s="449"/>
      <c r="D76" s="249">
        <v>0.41199999999999998</v>
      </c>
      <c r="E76" s="249">
        <v>0.73199999999999998</v>
      </c>
      <c r="F76" s="249">
        <v>0.56700000000000006</v>
      </c>
      <c r="G76" s="249">
        <v>0.83599999999999997</v>
      </c>
      <c r="H76" s="249">
        <v>0.36</v>
      </c>
      <c r="I76" s="249">
        <v>0.78700000000000003</v>
      </c>
      <c r="J76" s="249">
        <v>0.33600000000000002</v>
      </c>
      <c r="K76" s="250">
        <v>0.81299999999999994</v>
      </c>
      <c r="M76" s="292" t="s">
        <v>73</v>
      </c>
      <c r="N76" s="293"/>
      <c r="O76" s="291">
        <v>1.6E-2</v>
      </c>
      <c r="P76" s="291"/>
      <c r="Q76" s="666">
        <v>0.01</v>
      </c>
      <c r="R76" s="618"/>
    </row>
    <row r="77" spans="2:18">
      <c r="B77" s="691" t="s">
        <v>264</v>
      </c>
      <c r="C77" s="449"/>
      <c r="D77" s="251">
        <v>0</v>
      </c>
      <c r="E77" s="251">
        <v>1.2E-2</v>
      </c>
      <c r="F77" s="251">
        <v>0</v>
      </c>
      <c r="G77" s="251">
        <v>0</v>
      </c>
      <c r="H77" s="251">
        <v>0</v>
      </c>
      <c r="I77" s="251">
        <v>0</v>
      </c>
      <c r="J77" s="251">
        <v>0</v>
      </c>
      <c r="K77" s="248">
        <v>6.9999999999999993E-3</v>
      </c>
      <c r="M77" s="292" t="s">
        <v>74</v>
      </c>
      <c r="N77" s="293"/>
      <c r="O77" s="291">
        <v>1.7999999999999999E-2</v>
      </c>
      <c r="P77" s="291"/>
      <c r="Q77" s="666">
        <v>1.2E-2</v>
      </c>
      <c r="R77" s="618"/>
    </row>
    <row r="78" spans="2:18">
      <c r="B78" s="691" t="s">
        <v>265</v>
      </c>
      <c r="C78" s="449"/>
      <c r="D78" s="251">
        <v>0.55900000000000005</v>
      </c>
      <c r="E78" s="251">
        <v>0.13400000000000001</v>
      </c>
      <c r="F78" s="251">
        <v>0.433</v>
      </c>
      <c r="G78" s="251">
        <v>0.14899999999999999</v>
      </c>
      <c r="H78" s="251">
        <v>0.56000000000000005</v>
      </c>
      <c r="I78" s="251">
        <v>0.14899999999999999</v>
      </c>
      <c r="J78" s="251">
        <v>0.66400000000000003</v>
      </c>
      <c r="K78" s="248">
        <v>0.16</v>
      </c>
      <c r="M78" s="292" t="s">
        <v>449</v>
      </c>
      <c r="N78" s="293"/>
      <c r="O78" s="291">
        <v>1.0999999999999999E-2</v>
      </c>
      <c r="P78" s="291"/>
      <c r="Q78" s="666">
        <v>6.0000000000000001E-3</v>
      </c>
      <c r="R78" s="618"/>
    </row>
    <row r="79" spans="2:18" ht="13.8" thickBot="1">
      <c r="B79" s="691" t="s">
        <v>396</v>
      </c>
      <c r="C79" s="336"/>
      <c r="D79" s="265" t="s">
        <v>13</v>
      </c>
      <c r="E79" s="252" t="s">
        <v>13</v>
      </c>
      <c r="F79" s="252" t="s">
        <v>13</v>
      </c>
      <c r="G79" s="252" t="s">
        <v>13</v>
      </c>
      <c r="H79" s="252" t="s">
        <v>13</v>
      </c>
      <c r="I79" s="252" t="s">
        <v>13</v>
      </c>
      <c r="J79" s="252" t="s">
        <v>13</v>
      </c>
      <c r="K79" s="253" t="s">
        <v>13</v>
      </c>
      <c r="M79" s="309" t="s">
        <v>75</v>
      </c>
      <c r="N79" s="310"/>
      <c r="O79" s="525">
        <v>1.4999999999999999E-2</v>
      </c>
      <c r="P79" s="525"/>
      <c r="Q79" s="729">
        <v>0.01</v>
      </c>
      <c r="R79" s="613"/>
    </row>
    <row r="82" spans="2:11" ht="13.8" thickBot="1"/>
    <row r="83" spans="2:11" ht="13.8" customHeight="1" thickTop="1">
      <c r="B83" s="585" t="s">
        <v>594</v>
      </c>
      <c r="C83" s="668"/>
      <c r="D83" s="668"/>
      <c r="E83" s="668"/>
      <c r="F83" s="668"/>
      <c r="G83" s="668"/>
      <c r="H83" s="50"/>
      <c r="I83" s="50"/>
      <c r="J83" s="50"/>
      <c r="K83" s="50"/>
    </row>
    <row r="84" spans="2:11" ht="13.8" thickBot="1">
      <c r="B84" s="669"/>
      <c r="C84" s="669"/>
      <c r="D84" s="669"/>
      <c r="E84" s="669"/>
      <c r="F84" s="669"/>
      <c r="G84" s="669"/>
      <c r="H84" s="50"/>
      <c r="I84" s="50"/>
      <c r="J84" s="50"/>
      <c r="K84" s="50"/>
    </row>
    <row r="85" spans="2:11" ht="15.6" customHeight="1">
      <c r="B85" s="820" t="s">
        <v>69</v>
      </c>
      <c r="C85" s="821" t="s">
        <v>68</v>
      </c>
      <c r="D85" s="822" t="s">
        <v>459</v>
      </c>
      <c r="E85" s="822"/>
      <c r="F85" s="822"/>
      <c r="G85" s="823"/>
    </row>
    <row r="86" spans="2:11">
      <c r="B86" s="731"/>
      <c r="C86" s="732"/>
      <c r="D86" s="534" t="s">
        <v>47</v>
      </c>
      <c r="E86" s="534"/>
      <c r="F86" s="534" t="s">
        <v>48</v>
      </c>
      <c r="G86" s="818"/>
    </row>
    <row r="87" spans="2:11">
      <c r="B87" s="719" t="s">
        <v>458</v>
      </c>
      <c r="C87" s="819"/>
      <c r="D87" s="534"/>
      <c r="E87" s="534"/>
      <c r="F87" s="340"/>
      <c r="G87" s="339"/>
    </row>
    <row r="88" spans="2:11">
      <c r="B88" s="292" t="s">
        <v>73</v>
      </c>
      <c r="C88" s="293"/>
      <c r="D88" s="291">
        <v>0.23799999999999999</v>
      </c>
      <c r="E88" s="291"/>
      <c r="F88" s="666"/>
      <c r="G88" s="618"/>
    </row>
    <row r="89" spans="2:11">
      <c r="B89" s="292" t="s">
        <v>74</v>
      </c>
      <c r="C89" s="293"/>
      <c r="D89" s="291">
        <v>0.22900000000000001</v>
      </c>
      <c r="E89" s="291"/>
      <c r="F89" s="666"/>
      <c r="G89" s="618"/>
    </row>
    <row r="90" spans="2:11">
      <c r="B90" s="292" t="s">
        <v>449</v>
      </c>
      <c r="C90" s="293"/>
      <c r="D90" s="291">
        <v>0.23499999999999999</v>
      </c>
      <c r="E90" s="291"/>
      <c r="F90" s="666"/>
      <c r="G90" s="618"/>
    </row>
    <row r="91" spans="2:11" ht="13.8" thickBot="1">
      <c r="B91" s="309" t="s">
        <v>75</v>
      </c>
      <c r="C91" s="310"/>
      <c r="D91" s="525">
        <v>0.23499999999999999</v>
      </c>
      <c r="E91" s="525"/>
      <c r="F91" s="729"/>
      <c r="G91" s="613"/>
    </row>
  </sheetData>
  <sheetProtection sheet="1" objects="1" scenarios="1"/>
  <mergeCells count="163">
    <mergeCell ref="B25:H26"/>
    <mergeCell ref="Q6:Q7"/>
    <mergeCell ref="B9:F9"/>
    <mergeCell ref="B14:F14"/>
    <mergeCell ref="B19:F19"/>
    <mergeCell ref="F6:F7"/>
    <mergeCell ref="B91:C91"/>
    <mergeCell ref="D91:E91"/>
    <mergeCell ref="F91:G91"/>
    <mergeCell ref="M9:Q9"/>
    <mergeCell ref="M14:Q14"/>
    <mergeCell ref="M19:Q19"/>
    <mergeCell ref="B55:C55"/>
    <mergeCell ref="B50:C51"/>
    <mergeCell ref="B48:C48"/>
    <mergeCell ref="D41:K41"/>
    <mergeCell ref="D42:K42"/>
    <mergeCell ref="D50:K50"/>
    <mergeCell ref="B49:K49"/>
    <mergeCell ref="B41:B42"/>
    <mergeCell ref="C41:C42"/>
    <mergeCell ref="B44:C44"/>
    <mergeCell ref="B45:C45"/>
    <mergeCell ref="B46:C46"/>
    <mergeCell ref="B69:C69"/>
    <mergeCell ref="B65:C65"/>
    <mergeCell ref="B53:C53"/>
    <mergeCell ref="D63:K63"/>
    <mergeCell ref="B56:C56"/>
    <mergeCell ref="B62:B63"/>
    <mergeCell ref="C62:C63"/>
    <mergeCell ref="B52:C52"/>
    <mergeCell ref="D62:K62"/>
    <mergeCell ref="B54:C54"/>
    <mergeCell ref="B64:C64"/>
    <mergeCell ref="D90:E90"/>
    <mergeCell ref="D86:E87"/>
    <mergeCell ref="F86:G87"/>
    <mergeCell ref="F88:G88"/>
    <mergeCell ref="F89:G89"/>
    <mergeCell ref="F90:G90"/>
    <mergeCell ref="B89:C89"/>
    <mergeCell ref="B90:C90"/>
    <mergeCell ref="D85:G85"/>
    <mergeCell ref="B85:B86"/>
    <mergeCell ref="C85:C86"/>
    <mergeCell ref="B87:C87"/>
    <mergeCell ref="D88:E88"/>
    <mergeCell ref="D89:E89"/>
    <mergeCell ref="Z25:AA25"/>
    <mergeCell ref="Z26:AA26"/>
    <mergeCell ref="Z27:AA27"/>
    <mergeCell ref="Z28:AA28"/>
    <mergeCell ref="Z10:AA10"/>
    <mergeCell ref="Z11:AA11"/>
    <mergeCell ref="Z12:AA12"/>
    <mergeCell ref="Z13:AA13"/>
    <mergeCell ref="B88:C88"/>
    <mergeCell ref="Y29:AE29"/>
    <mergeCell ref="Y30:AE30"/>
    <mergeCell ref="B74:C74"/>
    <mergeCell ref="B75:C75"/>
    <mergeCell ref="B76:C76"/>
    <mergeCell ref="B77:C77"/>
    <mergeCell ref="B79:C79"/>
    <mergeCell ref="B83:G84"/>
    <mergeCell ref="B78:C78"/>
    <mergeCell ref="B60:K61"/>
    <mergeCell ref="B66:C66"/>
    <mergeCell ref="B67:C67"/>
    <mergeCell ref="B68:C68"/>
    <mergeCell ref="B70:C70"/>
    <mergeCell ref="B71:K71"/>
    <mergeCell ref="Y4:AE5"/>
    <mergeCell ref="Y14:AE14"/>
    <mergeCell ref="Y15:AE15"/>
    <mergeCell ref="Y19:AE20"/>
    <mergeCell ref="Y21:Y24"/>
    <mergeCell ref="Z21:AA24"/>
    <mergeCell ref="AB21:AE22"/>
    <mergeCell ref="AB23:AB24"/>
    <mergeCell ref="AC23:AC24"/>
    <mergeCell ref="AD23:AD24"/>
    <mergeCell ref="Y6:Y9"/>
    <mergeCell ref="Z6:AA9"/>
    <mergeCell ref="AB8:AB9"/>
    <mergeCell ref="AC8:AC9"/>
    <mergeCell ref="AD8:AD9"/>
    <mergeCell ref="AE8:AE9"/>
    <mergeCell ref="AB6:AE7"/>
    <mergeCell ref="AE23:AE24"/>
    <mergeCell ref="M53:N54"/>
    <mergeCell ref="O41:R41"/>
    <mergeCell ref="M41:N42"/>
    <mergeCell ref="M39:R40"/>
    <mergeCell ref="M51:R52"/>
    <mergeCell ref="M25:V25"/>
    <mergeCell ref="M26:V26"/>
    <mergeCell ref="B3:K3"/>
    <mergeCell ref="M3:V3"/>
    <mergeCell ref="B4:C4"/>
    <mergeCell ref="M4:N4"/>
    <mergeCell ref="P4:V4"/>
    <mergeCell ref="E4:K4"/>
    <mergeCell ref="V6:V7"/>
    <mergeCell ref="R9:V9"/>
    <mergeCell ref="M24:V24"/>
    <mergeCell ref="M5:M8"/>
    <mergeCell ref="N5:Q5"/>
    <mergeCell ref="R5:R8"/>
    <mergeCell ref="S5:V5"/>
    <mergeCell ref="K6:K7"/>
    <mergeCell ref="G9:K9"/>
    <mergeCell ref="B39:K40"/>
    <mergeCell ref="B47:C47"/>
    <mergeCell ref="M28:R28"/>
    <mergeCell ref="M78:N78"/>
    <mergeCell ref="O78:P78"/>
    <mergeCell ref="Q78:R78"/>
    <mergeCell ref="M79:N79"/>
    <mergeCell ref="O79:P79"/>
    <mergeCell ref="Q79:R79"/>
    <mergeCell ref="M77:N77"/>
    <mergeCell ref="M73:M74"/>
    <mergeCell ref="N73:N74"/>
    <mergeCell ref="O73:R73"/>
    <mergeCell ref="O68:P68"/>
    <mergeCell ref="Q68:R68"/>
    <mergeCell ref="M69:N69"/>
    <mergeCell ref="O69:P69"/>
    <mergeCell ref="Q69:R69"/>
    <mergeCell ref="M63:R64"/>
    <mergeCell ref="M65:M66"/>
    <mergeCell ref="N65:N66"/>
    <mergeCell ref="O65:R65"/>
    <mergeCell ref="O66:P67"/>
    <mergeCell ref="Q66:R67"/>
    <mergeCell ref="M67:N67"/>
    <mergeCell ref="O53:R53"/>
    <mergeCell ref="U28:V28"/>
    <mergeCell ref="B72:C73"/>
    <mergeCell ref="D72:K72"/>
    <mergeCell ref="G5:G8"/>
    <mergeCell ref="B5:B8"/>
    <mergeCell ref="H5:K5"/>
    <mergeCell ref="C5:F5"/>
    <mergeCell ref="O77:P77"/>
    <mergeCell ref="Q77:R77"/>
    <mergeCell ref="B27:C27"/>
    <mergeCell ref="C28:G28"/>
    <mergeCell ref="H28:H29"/>
    <mergeCell ref="B28:B30"/>
    <mergeCell ref="E27:H27"/>
    <mergeCell ref="B31:H31"/>
    <mergeCell ref="B43:C43"/>
    <mergeCell ref="O74:P75"/>
    <mergeCell ref="Q74:R75"/>
    <mergeCell ref="M75:N75"/>
    <mergeCell ref="M76:N76"/>
    <mergeCell ref="O76:P76"/>
    <mergeCell ref="Q76:R76"/>
    <mergeCell ref="M71:R72"/>
    <mergeCell ref="M68:N68"/>
  </mergeCells>
  <dataValidations count="1">
    <dataValidation type="list" allowBlank="1" showInputMessage="1" showErrorMessage="1" sqref="C41 C85 C62 D4 O4 N65 N73 D27" xr:uid="{00000000-0002-0000-0600-000000000000}">
      <formula1>Local</formula1>
    </dataValidation>
  </dataValidation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07"/>
  <sheetViews>
    <sheetView zoomScaleNormal="100" workbookViewId="0">
      <selection activeCell="C14" sqref="C14"/>
    </sheetView>
  </sheetViews>
  <sheetFormatPr defaultColWidth="9.109375" defaultRowHeight="13.2"/>
  <cols>
    <col min="1" max="2" width="13.6640625" customWidth="1"/>
    <col min="3" max="3" width="27.33203125" customWidth="1"/>
    <col min="4" max="7" width="13.6640625" customWidth="1"/>
    <col min="8" max="8" width="15.33203125" customWidth="1"/>
    <col min="9" max="9" width="13.6640625" customWidth="1"/>
    <col min="10" max="10" width="15.88671875" customWidth="1"/>
    <col min="11" max="17" width="13.6640625" customWidth="1"/>
    <col min="18" max="27" width="12.6640625" customWidth="1"/>
    <col min="34" max="34" width="11" customWidth="1"/>
    <col min="35" max="35" width="12.44140625" customWidth="1"/>
    <col min="36" max="36" width="10.44140625" customWidth="1"/>
    <col min="37" max="37" width="10.6640625" customWidth="1"/>
    <col min="38" max="38" width="12.44140625" customWidth="1"/>
    <col min="39" max="39" width="10.44140625" customWidth="1"/>
    <col min="40" max="40" width="11.6640625" customWidth="1"/>
    <col min="41" max="41" width="10.44140625" customWidth="1"/>
    <col min="44" max="44" width="10.109375" customWidth="1"/>
  </cols>
  <sheetData>
    <row r="1" spans="1:53">
      <c r="L1" s="6"/>
      <c r="O1" s="1"/>
      <c r="U1" s="7"/>
    </row>
    <row r="2" spans="1:53" ht="13.8" thickBot="1">
      <c r="L2" s="6"/>
      <c r="O2" s="1"/>
      <c r="U2" s="7"/>
    </row>
    <row r="3" spans="1:53" ht="13.8" thickTop="1">
      <c r="A3" s="25"/>
      <c r="B3" s="855" t="s">
        <v>509</v>
      </c>
      <c r="C3" s="855"/>
      <c r="D3" s="855"/>
      <c r="E3" s="855"/>
      <c r="F3" s="855"/>
      <c r="G3" s="855"/>
      <c r="H3" s="855"/>
      <c r="I3" s="855"/>
      <c r="J3" s="855"/>
      <c r="K3" s="44"/>
      <c r="L3" s="32"/>
      <c r="M3" s="32"/>
      <c r="N3" s="32"/>
      <c r="O3" s="32"/>
      <c r="P3" s="32"/>
      <c r="Q3" s="32"/>
      <c r="R3" s="32"/>
      <c r="S3" s="32"/>
      <c r="T3" s="32"/>
      <c r="U3" s="50"/>
      <c r="V3" s="50"/>
      <c r="W3" s="5"/>
      <c r="X3" s="5"/>
      <c r="Y3" s="5"/>
      <c r="AH3" s="5"/>
      <c r="AR3" s="5"/>
      <c r="AS3" s="5"/>
      <c r="AT3" s="5"/>
      <c r="AU3" s="5"/>
      <c r="AV3" s="5"/>
      <c r="AW3" s="5"/>
      <c r="AX3" s="5"/>
      <c r="AY3" s="5"/>
      <c r="AZ3" s="5"/>
      <c r="BA3" s="5"/>
    </row>
    <row r="4" spans="1:53" ht="13.8" thickBot="1">
      <c r="A4" s="5"/>
      <c r="B4" s="881"/>
      <c r="C4" s="881"/>
      <c r="D4" s="881"/>
      <c r="E4" s="881"/>
      <c r="F4" s="881"/>
      <c r="G4" s="881"/>
      <c r="H4" s="881"/>
      <c r="I4" s="881"/>
      <c r="J4" s="881"/>
      <c r="K4" s="1"/>
      <c r="L4" s="32"/>
      <c r="M4" s="32"/>
      <c r="N4" s="32"/>
      <c r="O4" s="32"/>
      <c r="P4" s="32"/>
      <c r="Q4" s="32"/>
      <c r="R4" s="32"/>
      <c r="S4" s="32"/>
      <c r="T4" s="32"/>
      <c r="U4" s="50"/>
      <c r="V4" s="50"/>
      <c r="W4" s="1"/>
      <c r="X4" s="1"/>
      <c r="Y4" s="1"/>
      <c r="AR4" s="5"/>
      <c r="AS4" s="5"/>
      <c r="AT4" s="5"/>
      <c r="AU4" s="5"/>
      <c r="AV4" s="5"/>
      <c r="AW4" s="5"/>
      <c r="AX4" s="5"/>
      <c r="AY4" s="5"/>
      <c r="AZ4" s="5"/>
      <c r="BA4" s="5"/>
    </row>
    <row r="5" spans="1:53">
      <c r="B5" s="406" t="s">
        <v>15</v>
      </c>
      <c r="C5" s="298"/>
      <c r="D5" s="30" t="s">
        <v>16</v>
      </c>
      <c r="E5" s="30" t="s">
        <v>17</v>
      </c>
      <c r="F5" s="30" t="s">
        <v>18</v>
      </c>
      <c r="G5" s="30" t="s">
        <v>19</v>
      </c>
      <c r="H5" s="30" t="s">
        <v>20</v>
      </c>
      <c r="I5" s="30" t="s">
        <v>21</v>
      </c>
      <c r="J5" s="67" t="s">
        <v>22</v>
      </c>
      <c r="K5" s="8"/>
      <c r="L5" s="31"/>
      <c r="M5" s="31"/>
      <c r="N5" s="31"/>
      <c r="O5" s="44"/>
      <c r="P5" s="44"/>
      <c r="Q5" s="44"/>
      <c r="R5" s="44"/>
      <c r="S5" s="44"/>
      <c r="T5" s="44"/>
      <c r="W5" s="44"/>
      <c r="X5" s="44"/>
      <c r="Y5" s="44"/>
      <c r="AH5" s="5"/>
      <c r="AI5" s="5"/>
      <c r="AJ5" s="5"/>
      <c r="AK5" s="1"/>
      <c r="AL5" s="5"/>
      <c r="AM5" s="1"/>
      <c r="AN5" s="1"/>
      <c r="AO5" s="1"/>
      <c r="AR5" s="5"/>
      <c r="AS5" s="5"/>
      <c r="AT5" s="5"/>
      <c r="AU5" s="5"/>
      <c r="AV5" s="5"/>
      <c r="AW5" s="5"/>
      <c r="AX5" s="5"/>
      <c r="AY5" s="5"/>
      <c r="AZ5" s="5"/>
      <c r="BA5" s="5"/>
    </row>
    <row r="6" spans="1:53" ht="19.8" customHeight="1">
      <c r="B6" s="314" t="s">
        <v>798</v>
      </c>
      <c r="C6" s="886"/>
      <c r="D6" s="338" t="s">
        <v>813</v>
      </c>
      <c r="E6" s="876"/>
      <c r="F6" s="876"/>
      <c r="G6" s="646" t="s">
        <v>814</v>
      </c>
      <c r="H6" s="338" t="s">
        <v>32</v>
      </c>
      <c r="I6" s="338" t="s">
        <v>128</v>
      </c>
      <c r="J6" s="399" t="s">
        <v>815</v>
      </c>
      <c r="L6" s="50"/>
      <c r="M6" s="50"/>
      <c r="N6" s="50"/>
      <c r="O6" s="44"/>
      <c r="P6" s="44"/>
      <c r="Q6" s="44"/>
      <c r="S6" s="5"/>
      <c r="W6" s="5"/>
      <c r="X6" s="5"/>
      <c r="Y6" s="5"/>
      <c r="AH6" s="5"/>
      <c r="AI6" s="5"/>
      <c r="AJ6" s="1"/>
      <c r="AK6" s="1"/>
      <c r="AL6" s="1"/>
      <c r="AM6" s="1"/>
      <c r="AN6" s="1"/>
      <c r="AO6" s="1"/>
      <c r="AR6" s="5"/>
      <c r="AS6" s="5"/>
      <c r="AT6" s="5"/>
      <c r="AU6" s="5"/>
      <c r="AV6" s="5"/>
      <c r="AW6" s="5"/>
      <c r="AX6" s="5"/>
      <c r="AY6" s="5"/>
      <c r="AZ6" s="5"/>
      <c r="BA6" s="5"/>
    </row>
    <row r="7" spans="1:53" ht="19.8" customHeight="1">
      <c r="B7" s="889" t="s">
        <v>812</v>
      </c>
      <c r="C7" s="727"/>
      <c r="D7" s="876"/>
      <c r="E7" s="876"/>
      <c r="F7" s="876"/>
      <c r="G7" s="647"/>
      <c r="H7" s="398"/>
      <c r="I7" s="338"/>
      <c r="J7" s="813"/>
      <c r="L7" s="21"/>
      <c r="M7" s="1"/>
      <c r="N7" s="1"/>
      <c r="O7" s="29"/>
      <c r="P7" s="29"/>
      <c r="Q7" s="29"/>
      <c r="R7" s="29"/>
      <c r="S7" s="29"/>
      <c r="T7" s="29"/>
      <c r="U7" s="29"/>
      <c r="V7" s="29"/>
      <c r="W7" s="1"/>
      <c r="X7" s="5"/>
      <c r="Y7" s="1"/>
      <c r="AH7" s="1"/>
      <c r="AI7" s="1"/>
      <c r="AJ7" s="1"/>
      <c r="AK7" s="1"/>
      <c r="AL7" s="63"/>
      <c r="AM7" s="63"/>
      <c r="AN7" s="63"/>
      <c r="AO7" s="63"/>
      <c r="AR7" s="20"/>
      <c r="AS7" s="22"/>
      <c r="AT7" s="22"/>
      <c r="AU7" s="22"/>
      <c r="AV7" s="22"/>
      <c r="AW7" s="22"/>
      <c r="AX7" s="22"/>
      <c r="AY7" s="22"/>
      <c r="AZ7" s="22"/>
      <c r="BA7" s="22"/>
    </row>
    <row r="8" spans="1:53" ht="19.8" customHeight="1">
      <c r="B8" s="890"/>
      <c r="C8" s="891"/>
      <c r="D8" s="877"/>
      <c r="E8" s="877"/>
      <c r="F8" s="877"/>
      <c r="G8" s="647"/>
      <c r="H8" s="398"/>
      <c r="I8" s="877"/>
      <c r="J8" s="813"/>
      <c r="K8" s="34"/>
      <c r="O8" s="27"/>
      <c r="P8" s="27"/>
      <c r="Q8" s="27"/>
      <c r="R8" s="27"/>
      <c r="S8" s="27"/>
      <c r="T8" s="27"/>
      <c r="U8" s="27"/>
      <c r="V8" s="27"/>
      <c r="W8" s="1"/>
      <c r="X8" s="1"/>
      <c r="Y8" s="1"/>
      <c r="AH8" s="1"/>
      <c r="AI8" s="1"/>
      <c r="AJ8" s="1"/>
      <c r="AK8" s="1"/>
      <c r="AL8" s="64"/>
      <c r="AM8" s="64"/>
      <c r="AN8" s="64"/>
      <c r="AO8" s="64"/>
      <c r="AR8" s="20"/>
      <c r="AS8" s="22"/>
      <c r="AT8" s="22"/>
      <c r="AU8" s="22"/>
      <c r="AV8" s="22"/>
      <c r="AW8" s="22"/>
      <c r="AX8" s="22"/>
      <c r="AY8" s="22"/>
      <c r="AZ8" s="22"/>
      <c r="BA8" s="22"/>
    </row>
    <row r="9" spans="1:53" ht="13.2" customHeight="1">
      <c r="A9" s="5"/>
      <c r="B9" s="890"/>
      <c r="C9" s="891"/>
      <c r="D9" s="348" t="s">
        <v>661</v>
      </c>
      <c r="E9" s="348" t="s">
        <v>816</v>
      </c>
      <c r="F9" s="348" t="s">
        <v>817</v>
      </c>
      <c r="G9" s="887"/>
      <c r="H9" s="398"/>
      <c r="I9" s="882" t="s">
        <v>129</v>
      </c>
      <c r="J9" s="401"/>
      <c r="K9" s="8"/>
      <c r="M9" s="52"/>
      <c r="N9" s="52"/>
      <c r="O9" s="53"/>
      <c r="P9" s="53"/>
      <c r="Q9" s="53"/>
      <c r="R9" s="24"/>
      <c r="S9" s="24"/>
      <c r="T9" s="24"/>
      <c r="U9" s="24"/>
      <c r="V9" s="24"/>
      <c r="AH9" s="21"/>
      <c r="AI9" s="1"/>
      <c r="AJ9" s="38"/>
      <c r="AK9" s="1"/>
      <c r="AL9" s="61"/>
      <c r="AM9" s="61"/>
      <c r="AN9" s="65"/>
      <c r="AO9" s="65"/>
      <c r="AR9" s="20"/>
      <c r="AS9" s="22"/>
      <c r="AT9" s="22"/>
      <c r="AU9" s="22"/>
      <c r="AV9" s="22"/>
      <c r="AW9" s="22"/>
      <c r="AX9" s="22"/>
      <c r="AY9" s="22"/>
      <c r="AZ9" s="22"/>
      <c r="BA9" s="22"/>
    </row>
    <row r="10" spans="1:53" ht="13.2" customHeight="1">
      <c r="A10" s="5"/>
      <c r="B10" s="890"/>
      <c r="C10" s="891"/>
      <c r="D10" s="532"/>
      <c r="E10" s="532"/>
      <c r="F10" s="532"/>
      <c r="G10" s="647"/>
      <c r="H10" s="877"/>
      <c r="I10" s="882"/>
      <c r="J10" s="894" t="s">
        <v>800</v>
      </c>
      <c r="K10" s="8"/>
      <c r="M10" s="52"/>
      <c r="N10" s="52"/>
      <c r="O10" s="53"/>
      <c r="P10" s="53"/>
      <c r="Q10" s="53"/>
      <c r="R10" s="24"/>
      <c r="S10" s="24"/>
      <c r="T10" s="24"/>
      <c r="U10" s="24"/>
      <c r="V10" s="24"/>
      <c r="AH10" s="21"/>
      <c r="AI10" s="1"/>
      <c r="AJ10" s="38"/>
      <c r="AK10" s="1"/>
      <c r="AL10" s="61"/>
      <c r="AM10" s="61"/>
      <c r="AN10" s="65"/>
      <c r="AO10" s="65"/>
      <c r="AR10" s="20"/>
      <c r="AS10" s="22"/>
      <c r="AT10" s="22"/>
      <c r="AU10" s="22"/>
      <c r="AV10" s="22"/>
      <c r="AW10" s="22"/>
      <c r="AX10" s="22"/>
      <c r="AY10" s="22"/>
      <c r="AZ10" s="22"/>
      <c r="BA10" s="22"/>
    </row>
    <row r="11" spans="1:53" ht="13.2" customHeight="1" thickBot="1">
      <c r="A11" s="20"/>
      <c r="B11" s="892"/>
      <c r="C11" s="893"/>
      <c r="D11" s="875"/>
      <c r="E11" s="875"/>
      <c r="F11" s="875"/>
      <c r="G11" s="888"/>
      <c r="H11" s="883"/>
      <c r="I11" s="883"/>
      <c r="J11" s="895"/>
      <c r="K11" s="7"/>
      <c r="L11" s="51"/>
      <c r="M11" s="52"/>
      <c r="N11" s="52"/>
      <c r="O11" s="24"/>
      <c r="P11" s="24"/>
      <c r="Q11" s="24"/>
      <c r="R11" s="24"/>
      <c r="S11" s="24"/>
      <c r="T11" s="24"/>
      <c r="U11" s="24"/>
      <c r="V11" s="24"/>
      <c r="W11" s="10"/>
      <c r="X11" s="10"/>
      <c r="Y11" s="10"/>
      <c r="AH11" s="1"/>
      <c r="AI11" s="1"/>
      <c r="AJ11" s="1"/>
      <c r="AK11" s="1"/>
      <c r="AL11" s="61"/>
      <c r="AM11" s="61"/>
      <c r="AN11" s="61"/>
      <c r="AO11" s="61"/>
      <c r="AR11" s="20"/>
      <c r="AS11" s="22"/>
      <c r="AT11" s="22"/>
      <c r="AU11" s="22"/>
      <c r="AV11" s="22"/>
      <c r="AW11" s="22"/>
      <c r="AX11" s="22"/>
      <c r="AY11" s="22"/>
      <c r="AZ11" s="22"/>
      <c r="BA11" s="22"/>
    </row>
    <row r="12" spans="1:53">
      <c r="A12" s="20"/>
      <c r="B12" s="590" t="s">
        <v>111</v>
      </c>
      <c r="C12" s="590"/>
      <c r="D12" s="590"/>
      <c r="E12" s="590"/>
      <c r="F12" s="590"/>
      <c r="G12" s="590"/>
      <c r="H12" s="590"/>
      <c r="I12" s="590"/>
      <c r="J12" s="590"/>
      <c r="K12" s="7"/>
      <c r="L12" s="51"/>
      <c r="M12" s="52"/>
      <c r="N12" s="52"/>
      <c r="O12" s="24"/>
      <c r="P12" s="24"/>
      <c r="Q12" s="24"/>
      <c r="R12" s="24"/>
      <c r="S12" s="24"/>
      <c r="T12" s="24"/>
      <c r="U12" s="24"/>
      <c r="V12" s="24"/>
      <c r="W12" s="10"/>
      <c r="X12" s="10"/>
      <c r="Y12" s="10"/>
      <c r="AH12" s="1"/>
      <c r="AI12" s="1"/>
      <c r="AJ12" s="1"/>
      <c r="AK12" s="1"/>
      <c r="AL12" s="61"/>
      <c r="AM12" s="61"/>
      <c r="AN12" s="61"/>
      <c r="AO12" s="61"/>
      <c r="AR12" s="20"/>
      <c r="AS12" s="22"/>
      <c r="AT12" s="22"/>
      <c r="AU12" s="22"/>
      <c r="AV12" s="22"/>
      <c r="AW12" s="22"/>
      <c r="AX12" s="22"/>
      <c r="AY12" s="22"/>
      <c r="AZ12" s="22"/>
      <c r="BA12" s="22"/>
    </row>
    <row r="13" spans="1:53">
      <c r="A13" s="20"/>
      <c r="B13" s="878" t="s">
        <v>506</v>
      </c>
      <c r="C13" s="449"/>
      <c r="D13" s="449"/>
      <c r="E13" s="449"/>
      <c r="F13" s="449"/>
      <c r="G13" s="449"/>
      <c r="H13" s="449"/>
      <c r="I13" s="449"/>
      <c r="J13" s="449"/>
      <c r="K13" s="7"/>
      <c r="L13" s="51"/>
      <c r="M13" s="52"/>
      <c r="N13" s="52"/>
      <c r="O13" s="24"/>
      <c r="P13" s="24"/>
      <c r="Q13" s="24"/>
      <c r="R13" s="24"/>
      <c r="S13" s="24"/>
      <c r="T13" s="24"/>
      <c r="U13" s="24"/>
      <c r="V13" s="24"/>
      <c r="W13" s="10"/>
      <c r="X13" s="10"/>
      <c r="Y13" s="10"/>
      <c r="AH13" s="1"/>
      <c r="AI13" s="1"/>
      <c r="AJ13" s="1"/>
      <c r="AK13" s="1"/>
      <c r="AL13" s="61"/>
      <c r="AM13" s="61"/>
      <c r="AN13" s="61"/>
      <c r="AO13" s="61"/>
      <c r="AR13" s="20"/>
      <c r="AS13" s="22"/>
      <c r="AT13" s="22"/>
      <c r="AU13" s="22"/>
      <c r="AV13" s="22"/>
      <c r="AW13" s="22"/>
      <c r="AX13" s="22"/>
      <c r="AY13" s="22"/>
      <c r="AZ13" s="22"/>
      <c r="BA13" s="22"/>
    </row>
    <row r="14" spans="1:53">
      <c r="A14" s="20"/>
      <c r="B14" s="223" t="s">
        <v>505</v>
      </c>
      <c r="C14" s="274" t="s">
        <v>799</v>
      </c>
      <c r="D14" s="3">
        <f t="shared" ref="D14:D15" si="0">E14+F14</f>
        <v>4.843543332514777</v>
      </c>
      <c r="E14" s="3">
        <f>IF(LEN($C14)&gt;0,'Segment 1'!$N$49,0)</f>
        <v>1.5111855197446105</v>
      </c>
      <c r="F14" s="3">
        <f>IF(LEN($C14)&gt;0,'Segment 1'!$N$51,0)</f>
        <v>3.3323578127701667</v>
      </c>
      <c r="G14" s="270">
        <v>7</v>
      </c>
      <c r="H14" s="3">
        <f>+'Segment 1'!$E$48</f>
        <v>1.1479999999999999</v>
      </c>
      <c r="I14" s="3">
        <f>1/(1+H14*D14)</f>
        <v>0.15243001462091002</v>
      </c>
      <c r="J14" s="185">
        <f>IF(LEN($C14)&gt;0,I14*+D14+((1-I14)*G14),0)</f>
        <v>6.6712912786458682</v>
      </c>
      <c r="K14" s="7"/>
      <c r="L14" s="51"/>
      <c r="M14" s="52"/>
      <c r="N14" s="52"/>
      <c r="O14" s="24"/>
      <c r="P14" s="24"/>
      <c r="Q14" s="24"/>
      <c r="R14" s="24"/>
      <c r="S14" s="24"/>
      <c r="T14" s="24"/>
      <c r="U14" s="24"/>
      <c r="V14" s="24"/>
      <c r="W14" s="10"/>
      <c r="X14" s="10"/>
      <c r="Y14" s="10"/>
      <c r="AH14" s="39"/>
      <c r="AI14" s="26"/>
      <c r="AJ14" s="38"/>
      <c r="AK14" s="1"/>
      <c r="AL14" s="61"/>
      <c r="AM14" s="61"/>
      <c r="AN14" s="65"/>
      <c r="AO14" s="65"/>
      <c r="AR14" s="59"/>
    </row>
    <row r="15" spans="1:53">
      <c r="A15" s="20"/>
      <c r="B15" s="223" t="s">
        <v>504</v>
      </c>
      <c r="C15" s="274" t="s">
        <v>799</v>
      </c>
      <c r="D15" s="3">
        <f t="shared" si="0"/>
        <v>1.8803630387064492</v>
      </c>
      <c r="E15" s="3">
        <f>IF(LEN($C15)&gt;0,'Segment 2'!$N$49,0)</f>
        <v>0.60923762454088959</v>
      </c>
      <c r="F15" s="3">
        <f>IF(LEN($C15)&gt;0,'Segment 2'!$N$51,0)</f>
        <v>1.2711254141655595</v>
      </c>
      <c r="G15" s="270">
        <v>6</v>
      </c>
      <c r="H15" s="3">
        <f>+'Segment 2'!$E$48</f>
        <v>0.96699999999999997</v>
      </c>
      <c r="I15" s="3">
        <f>1/(1+H15*D15)</f>
        <v>0.35482243771820476</v>
      </c>
      <c r="J15" s="185">
        <f>IF(LEN($C15)&gt;0,I15*+D15+((1-I15)*G15),0)</f>
        <v>4.5382603708798044</v>
      </c>
      <c r="K15" s="7"/>
      <c r="L15" s="51"/>
      <c r="M15" s="52"/>
      <c r="N15" s="52"/>
      <c r="O15" s="24"/>
      <c r="P15" s="24"/>
      <c r="Q15" s="24"/>
      <c r="R15" s="24"/>
      <c r="S15" s="24"/>
      <c r="T15" s="24"/>
      <c r="U15" s="24"/>
      <c r="V15" s="24"/>
      <c r="W15" s="10"/>
      <c r="X15" s="10"/>
      <c r="Y15" s="10"/>
      <c r="AH15" s="26"/>
      <c r="AI15" s="26"/>
      <c r="AJ15" s="1"/>
      <c r="AK15" s="1"/>
      <c r="AL15" s="61"/>
      <c r="AM15" s="61"/>
      <c r="AN15" s="61"/>
      <c r="AO15" s="61"/>
    </row>
    <row r="16" spans="1:53">
      <c r="A16" s="20"/>
      <c r="B16" s="223" t="s">
        <v>113</v>
      </c>
      <c r="C16" s="274"/>
      <c r="D16" s="3">
        <f>E16+F16</f>
        <v>0</v>
      </c>
      <c r="E16" s="201"/>
      <c r="F16" s="201"/>
      <c r="G16" s="202"/>
      <c r="H16" s="201"/>
      <c r="I16" s="73">
        <f t="shared" ref="I16:I27" si="1">1/(1+H16*D16)</f>
        <v>1</v>
      </c>
      <c r="J16" s="185">
        <f>+I16*+D16+((1-I16)*G16)</f>
        <v>0</v>
      </c>
      <c r="K16" s="7"/>
      <c r="L16" s="51"/>
      <c r="M16" s="52"/>
      <c r="N16" s="52"/>
      <c r="O16" s="24"/>
      <c r="P16" s="24"/>
      <c r="Q16" s="24"/>
      <c r="R16" s="24"/>
      <c r="S16" s="24"/>
      <c r="T16" s="24"/>
      <c r="U16" s="24"/>
      <c r="V16" s="24"/>
      <c r="W16" s="10"/>
      <c r="X16" s="10"/>
      <c r="Y16" s="10"/>
      <c r="AH16" s="26"/>
      <c r="AI16" s="26"/>
      <c r="AJ16" s="38"/>
      <c r="AK16" s="22"/>
      <c r="AL16" s="22"/>
      <c r="AM16" s="22"/>
      <c r="AN16" s="22"/>
      <c r="AO16" s="22"/>
    </row>
    <row r="17" spans="1:48">
      <c r="A17" s="20"/>
      <c r="B17" s="223" t="s">
        <v>114</v>
      </c>
      <c r="C17" s="274"/>
      <c r="D17" s="3">
        <f t="shared" ref="D17" si="2">E17+F17</f>
        <v>0</v>
      </c>
      <c r="E17" s="201"/>
      <c r="F17" s="201"/>
      <c r="G17" s="203"/>
      <c r="H17" s="201"/>
      <c r="I17" s="73">
        <f t="shared" si="1"/>
        <v>1</v>
      </c>
      <c r="J17" s="185">
        <f>+I17*+D17+((1-I17)*G17)</f>
        <v>0</v>
      </c>
      <c r="K17" s="7"/>
      <c r="L17" s="51"/>
      <c r="M17" s="52"/>
      <c r="N17" s="52"/>
      <c r="O17" s="24"/>
      <c r="P17" s="24"/>
      <c r="Q17" s="24"/>
      <c r="R17" s="24"/>
      <c r="S17" s="24"/>
      <c r="T17" s="24"/>
      <c r="U17" s="24"/>
      <c r="V17" s="24"/>
      <c r="W17" s="10"/>
      <c r="X17" s="10"/>
      <c r="Y17" s="10"/>
      <c r="AH17" s="58"/>
      <c r="AI17" s="58"/>
      <c r="AJ17" s="17"/>
      <c r="AK17" s="17"/>
      <c r="AL17" s="17"/>
      <c r="AM17" s="17"/>
      <c r="AN17" s="17"/>
      <c r="AO17" s="17"/>
    </row>
    <row r="18" spans="1:48">
      <c r="A18" s="20"/>
      <c r="B18" s="878" t="s">
        <v>507</v>
      </c>
      <c r="C18" s="449"/>
      <c r="D18" s="449"/>
      <c r="E18" s="449"/>
      <c r="F18" s="449"/>
      <c r="G18" s="449"/>
      <c r="H18" s="449"/>
      <c r="I18" s="449"/>
      <c r="J18" s="449"/>
      <c r="K18" s="7"/>
      <c r="L18" s="51"/>
      <c r="M18" s="52"/>
      <c r="N18" s="52"/>
      <c r="O18" s="24"/>
      <c r="P18" s="24"/>
      <c r="Q18" s="24"/>
      <c r="R18" s="24"/>
      <c r="S18" s="24"/>
      <c r="T18" s="24"/>
      <c r="U18" s="24"/>
      <c r="V18" s="24"/>
      <c r="W18" s="10"/>
      <c r="X18" s="10"/>
      <c r="Y18" s="10"/>
      <c r="AH18" s="58"/>
      <c r="AI18" s="58"/>
      <c r="AJ18" s="17"/>
      <c r="AK18" s="17"/>
      <c r="AL18" s="17"/>
      <c r="AM18" s="17"/>
      <c r="AN18" s="17"/>
      <c r="AO18" s="17"/>
    </row>
    <row r="19" spans="1:48">
      <c r="A19" s="20"/>
      <c r="B19" s="223" t="s">
        <v>505</v>
      </c>
      <c r="C19" s="224" t="str">
        <f>IF(ISBLANK(C$14),"",C$14)</f>
        <v>From worksheet</v>
      </c>
      <c r="D19" s="3">
        <f t="shared" ref="D19:D22" si="3">E19+F19</f>
        <v>2.2478872768782416</v>
      </c>
      <c r="E19" s="3">
        <f>IF(LEN($C19)&gt;0,'Segment 1'!$N$81,0)</f>
        <v>0.94186476901198324</v>
      </c>
      <c r="F19" s="3">
        <f>IF(LEN($C19)&gt;0,'Segment 1'!$N$83,0)</f>
        <v>1.3060225078662586</v>
      </c>
      <c r="G19" s="271">
        <v>4</v>
      </c>
      <c r="H19" s="3">
        <f>+'Segment 1'!$E$80</f>
        <v>0.66400000000000003</v>
      </c>
      <c r="I19" s="3">
        <f>1/(1+H19*D19)</f>
        <v>0.40118797345930712</v>
      </c>
      <c r="J19" s="185">
        <f>IF(LEN($C19)&gt;0,I19*+D19+((1-I19)*G19),0)</f>
        <v>3.2970734473385139</v>
      </c>
      <c r="K19" s="7"/>
      <c r="L19" s="51"/>
      <c r="M19" s="52"/>
      <c r="N19" s="52"/>
      <c r="O19" s="24"/>
      <c r="P19" s="24"/>
      <c r="Q19" s="24"/>
      <c r="R19" s="24"/>
      <c r="S19" s="24"/>
      <c r="T19" s="24"/>
      <c r="U19" s="24"/>
      <c r="V19" s="24"/>
      <c r="W19" s="10"/>
      <c r="X19" s="10"/>
      <c r="Y19" s="10"/>
      <c r="AH19" s="58"/>
      <c r="AI19" s="58"/>
      <c r="AJ19" s="17"/>
      <c r="AK19" s="17"/>
      <c r="AL19" s="17"/>
      <c r="AM19" s="17"/>
      <c r="AN19" s="17"/>
      <c r="AO19" s="17"/>
    </row>
    <row r="20" spans="1:48">
      <c r="A20" s="20"/>
      <c r="B20" s="223" t="s">
        <v>504</v>
      </c>
      <c r="C20" s="224" t="str">
        <f>IF(ISBLANK(C$15),"",C$15)</f>
        <v>From worksheet</v>
      </c>
      <c r="D20" s="3">
        <f t="shared" si="3"/>
        <v>1.089047024667511</v>
      </c>
      <c r="E20" s="3">
        <f>IF(LEN($C20)&gt;0,'Segment 2'!$N$81,0)</f>
        <v>0.36483075326361619</v>
      </c>
      <c r="F20" s="3">
        <f>IF(LEN($C20)&gt;0,'Segment 2'!$N$83,0)</f>
        <v>0.72421627140389488</v>
      </c>
      <c r="G20" s="272">
        <v>3</v>
      </c>
      <c r="H20" s="3">
        <f>+'Segment 2'!$E$80</f>
        <v>0.56699999999999995</v>
      </c>
      <c r="I20" s="3">
        <f>1/(1+H20*D20)</f>
        <v>0.61824197265881353</v>
      </c>
      <c r="J20" s="185">
        <f>IF(LEN($C20)&gt;0,I20*+D20+((1-I20)*G20),0)</f>
        <v>1.8185686628722131</v>
      </c>
      <c r="K20" s="7"/>
      <c r="L20" s="51"/>
      <c r="M20" s="52"/>
      <c r="N20" s="52"/>
      <c r="O20" s="24"/>
      <c r="P20" s="24"/>
      <c r="Q20" s="24"/>
      <c r="R20" s="24"/>
      <c r="S20" s="24"/>
      <c r="T20" s="24"/>
      <c r="U20" s="24"/>
      <c r="V20" s="24"/>
      <c r="W20" s="10"/>
      <c r="X20" s="10"/>
      <c r="Y20" s="10"/>
      <c r="AH20" s="58"/>
      <c r="AI20" s="58"/>
      <c r="AJ20" s="17"/>
      <c r="AK20" s="17"/>
      <c r="AL20" s="17"/>
      <c r="AM20" s="17"/>
      <c r="AN20" s="17"/>
      <c r="AO20" s="17"/>
    </row>
    <row r="21" spans="1:48">
      <c r="A21" s="20"/>
      <c r="B21" s="223" t="s">
        <v>113</v>
      </c>
      <c r="C21" s="43" t="str">
        <f>IF(ISBLANK(C$16),"",C$16)</f>
        <v/>
      </c>
      <c r="D21" s="3">
        <f t="shared" si="3"/>
        <v>0</v>
      </c>
      <c r="E21" s="201"/>
      <c r="F21" s="201"/>
      <c r="G21" s="202"/>
      <c r="H21" s="201"/>
      <c r="I21" s="73">
        <f>1/(1+H21*D21)</f>
        <v>1</v>
      </c>
      <c r="J21" s="185">
        <f>+I21*+D21+((1-I21)*G21)</f>
        <v>0</v>
      </c>
      <c r="K21" s="7"/>
      <c r="L21" s="51"/>
      <c r="M21" s="52"/>
      <c r="N21" s="52"/>
      <c r="O21" s="24"/>
      <c r="P21" s="24"/>
      <c r="Q21" s="24"/>
      <c r="R21" s="24"/>
      <c r="S21" s="24"/>
      <c r="T21" s="24"/>
      <c r="U21" s="24"/>
      <c r="V21" s="24"/>
      <c r="W21" s="10"/>
      <c r="X21" s="10"/>
      <c r="Y21" s="10"/>
      <c r="AH21" s="58"/>
      <c r="AI21" s="58"/>
      <c r="AJ21" s="17"/>
      <c r="AK21" s="17"/>
      <c r="AL21" s="17"/>
      <c r="AM21" s="17"/>
      <c r="AN21" s="17"/>
      <c r="AO21" s="17"/>
    </row>
    <row r="22" spans="1:48">
      <c r="A22" s="20"/>
      <c r="B22" s="223" t="s">
        <v>114</v>
      </c>
      <c r="C22" s="43" t="str">
        <f>IF(ISBLANK(C$17),"",C$17)</f>
        <v/>
      </c>
      <c r="D22" s="3">
        <f t="shared" si="3"/>
        <v>0</v>
      </c>
      <c r="E22" s="201"/>
      <c r="F22" s="201"/>
      <c r="G22" s="204"/>
      <c r="H22" s="201"/>
      <c r="I22" s="73">
        <f>1/(1+H22*D22)</f>
        <v>1</v>
      </c>
      <c r="J22" s="185">
        <f>+I22*+D22+((1-I22)*G22)</f>
        <v>0</v>
      </c>
      <c r="K22" s="7"/>
      <c r="L22" s="51"/>
      <c r="M22" s="52"/>
      <c r="N22" s="52"/>
      <c r="O22" s="24"/>
      <c r="P22" s="24"/>
      <c r="Q22" s="24"/>
      <c r="R22" s="24"/>
      <c r="S22" s="24"/>
      <c r="T22" s="24"/>
      <c r="U22" s="24"/>
      <c r="V22" s="24"/>
      <c r="W22" s="10"/>
      <c r="X22" s="10"/>
      <c r="Y22" s="10"/>
      <c r="AH22" s="58"/>
      <c r="AI22" s="58"/>
      <c r="AJ22" s="17"/>
      <c r="AK22" s="17"/>
      <c r="AL22" s="17"/>
      <c r="AM22" s="17"/>
      <c r="AN22" s="17"/>
      <c r="AO22" s="17"/>
    </row>
    <row r="23" spans="1:48">
      <c r="A23" s="20"/>
      <c r="B23" s="878" t="s">
        <v>508</v>
      </c>
      <c r="C23" s="449"/>
      <c r="D23" s="449"/>
      <c r="E23" s="449"/>
      <c r="F23" s="449"/>
      <c r="G23" s="449"/>
      <c r="H23" s="449"/>
      <c r="I23" s="449"/>
      <c r="J23" s="449"/>
      <c r="K23" s="7"/>
      <c r="L23" s="51"/>
      <c r="M23" s="52"/>
      <c r="N23" s="52"/>
      <c r="O23" s="24"/>
      <c r="P23" s="24"/>
      <c r="Q23" s="24"/>
      <c r="R23" s="24"/>
      <c r="S23" s="24"/>
      <c r="T23" s="24"/>
      <c r="U23" s="24"/>
      <c r="V23" s="24"/>
      <c r="W23" s="10"/>
      <c r="X23" s="10"/>
      <c r="Y23" s="10"/>
      <c r="AH23" s="58"/>
      <c r="AI23" s="58"/>
      <c r="AJ23" s="17"/>
      <c r="AK23" s="17"/>
      <c r="AL23" s="17"/>
      <c r="AM23" s="17"/>
      <c r="AN23" s="17"/>
      <c r="AO23" s="17"/>
    </row>
    <row r="24" spans="1:48">
      <c r="A24" s="20"/>
      <c r="B24" s="223" t="s">
        <v>505</v>
      </c>
      <c r="C24" s="224" t="str">
        <f>IF(ISBLANK(C$14),"",C$14)</f>
        <v>From worksheet</v>
      </c>
      <c r="D24" s="3">
        <f t="shared" ref="D24:D27" si="4">E24+F24</f>
        <v>0.89977091831020795</v>
      </c>
      <c r="E24" s="3">
        <f>IF(LEN($C24)&gt;0,'Segment 1'!$M$128,0)</f>
        <v>0.24203837702544592</v>
      </c>
      <c r="F24" s="3">
        <f>IF(LEN($C24)&gt;0,'Segment 1'!$M$129,0)</f>
        <v>0.657732541284762</v>
      </c>
      <c r="G24" s="271">
        <v>2</v>
      </c>
      <c r="H24" s="3">
        <f>+'Segment 1'!$M$117</f>
        <v>1.18</v>
      </c>
      <c r="I24" s="3">
        <f t="shared" si="1"/>
        <v>0.48502963698469004</v>
      </c>
      <c r="J24" s="185">
        <f>IF(LEN($C24)&gt;0,I24*+D24+((1-I24)*G24),0)</f>
        <v>1.4663562879080012</v>
      </c>
      <c r="K24" s="7"/>
      <c r="L24" s="20"/>
      <c r="O24" s="24"/>
      <c r="P24" s="24"/>
      <c r="Q24" s="24"/>
      <c r="R24" s="24"/>
      <c r="S24" s="24"/>
      <c r="T24" s="24"/>
      <c r="U24" s="24"/>
      <c r="V24" s="24"/>
      <c r="W24" s="10"/>
      <c r="X24" s="10"/>
      <c r="Y24" s="10"/>
      <c r="AH24" s="17"/>
      <c r="AI24" s="17"/>
      <c r="AJ24" s="17"/>
      <c r="AK24" s="17"/>
      <c r="AL24" s="17"/>
      <c r="AM24" s="17"/>
      <c r="AN24" s="17"/>
      <c r="AO24" s="17"/>
      <c r="AR24" s="20"/>
      <c r="AV24" s="22"/>
    </row>
    <row r="25" spans="1:48">
      <c r="A25" s="20"/>
      <c r="B25" s="223" t="s">
        <v>504</v>
      </c>
      <c r="C25" s="224" t="str">
        <f>IF(ISBLANK(C$15),"",C$15)</f>
        <v>From worksheet</v>
      </c>
      <c r="D25" s="3">
        <f t="shared" si="4"/>
        <v>0.31074675241610672</v>
      </c>
      <c r="E25" s="3">
        <f>IF(LEN($C25)&gt;0,'Segment 2'!$M$128,0)</f>
        <v>8.825207768617431E-2</v>
      </c>
      <c r="F25" s="3">
        <f>IF(LEN($C25)&gt;0,'Segment 2'!$M$129,0)</f>
        <v>0.22249467472993242</v>
      </c>
      <c r="G25" s="272">
        <v>1</v>
      </c>
      <c r="H25" s="3">
        <f>+'Segment 2'!$M$117</f>
        <v>1.48</v>
      </c>
      <c r="I25" s="3">
        <f t="shared" si="1"/>
        <v>0.68497598638623702</v>
      </c>
      <c r="J25" s="185">
        <f>IF(LEN($C25)&gt;0,I25*+D25+((1-I25)*G25),0)</f>
        <v>0.5278780768663055</v>
      </c>
      <c r="K25" s="7"/>
      <c r="L25" s="54"/>
      <c r="M25" s="33"/>
      <c r="N25" s="33"/>
      <c r="O25" s="33"/>
      <c r="P25" s="33"/>
      <c r="Q25" s="33"/>
      <c r="R25" s="33"/>
      <c r="S25" s="33"/>
      <c r="T25" s="33"/>
      <c r="U25" s="33"/>
      <c r="V25" s="33"/>
      <c r="W25" s="10"/>
      <c r="X25" s="10"/>
      <c r="Y25" s="10"/>
      <c r="AH25" s="17"/>
      <c r="AI25" s="58"/>
      <c r="AJ25" s="17"/>
      <c r="AK25" s="17"/>
      <c r="AL25" s="17"/>
      <c r="AM25" s="17"/>
      <c r="AN25" s="17"/>
      <c r="AO25" s="17"/>
    </row>
    <row r="26" spans="1:48">
      <c r="A26" s="20"/>
      <c r="B26" s="223" t="s">
        <v>113</v>
      </c>
      <c r="C26" s="43" t="str">
        <f>IF(ISBLANK(C$16),"",C$16)</f>
        <v/>
      </c>
      <c r="D26" s="3">
        <f t="shared" si="4"/>
        <v>0</v>
      </c>
      <c r="E26" s="201"/>
      <c r="F26" s="201"/>
      <c r="G26" s="202"/>
      <c r="H26" s="201"/>
      <c r="I26" s="73">
        <f t="shared" si="1"/>
        <v>1</v>
      </c>
      <c r="J26" s="185">
        <f>+I26*+D26+((1-I26)*G26)</f>
        <v>0</v>
      </c>
      <c r="K26" s="46"/>
      <c r="L26" s="1"/>
      <c r="M26" s="1"/>
      <c r="N26" s="1"/>
      <c r="O26" s="1"/>
      <c r="P26" s="1"/>
      <c r="Q26" s="1"/>
      <c r="R26" s="1"/>
      <c r="S26" s="1"/>
      <c r="T26" s="1"/>
      <c r="U26" s="1"/>
      <c r="V26" s="1"/>
      <c r="W26" s="10"/>
      <c r="X26" s="10"/>
      <c r="Y26" s="10"/>
      <c r="AH26" s="17"/>
      <c r="AI26" s="17"/>
      <c r="AJ26" s="17"/>
      <c r="AK26" s="17"/>
      <c r="AL26" s="17"/>
      <c r="AM26" s="17"/>
      <c r="AN26" s="17"/>
      <c r="AO26" s="17"/>
      <c r="AR26" s="20"/>
      <c r="AV26" s="22"/>
    </row>
    <row r="27" spans="1:48" ht="13.8" thickBot="1">
      <c r="B27" s="226" t="s">
        <v>114</v>
      </c>
      <c r="C27" s="225" t="str">
        <f>IF(ISBLANK(C$17),"",C$17)</f>
        <v/>
      </c>
      <c r="D27" s="37">
        <f t="shared" si="4"/>
        <v>0</v>
      </c>
      <c r="E27" s="205"/>
      <c r="F27" s="205"/>
      <c r="G27" s="206"/>
      <c r="H27" s="205"/>
      <c r="I27" s="73">
        <f t="shared" si="1"/>
        <v>1</v>
      </c>
      <c r="J27" s="185">
        <f>+I27*+D27+((1-I27)*G27)</f>
        <v>0</v>
      </c>
      <c r="K27" s="45"/>
      <c r="L27" s="32"/>
      <c r="M27" s="32"/>
      <c r="N27" s="32"/>
      <c r="O27" s="32"/>
      <c r="P27" s="32"/>
      <c r="Q27" s="32"/>
      <c r="R27" s="32"/>
      <c r="S27" s="32"/>
      <c r="T27" s="32"/>
      <c r="U27" s="50"/>
      <c r="V27" s="50"/>
      <c r="W27" s="10"/>
      <c r="X27" s="10"/>
      <c r="Y27" s="10"/>
    </row>
    <row r="28" spans="1:48">
      <c r="B28" s="590" t="s">
        <v>112</v>
      </c>
      <c r="C28" s="590"/>
      <c r="D28" s="590"/>
      <c r="E28" s="590"/>
      <c r="F28" s="590"/>
      <c r="G28" s="590"/>
      <c r="H28" s="590"/>
      <c r="I28" s="590"/>
      <c r="J28" s="590"/>
      <c r="K28" s="44"/>
      <c r="L28" s="32"/>
      <c r="M28" s="32"/>
      <c r="N28" s="32"/>
      <c r="O28" s="32"/>
      <c r="P28" s="32"/>
      <c r="Q28" s="32"/>
      <c r="R28" s="32"/>
      <c r="S28" s="32"/>
      <c r="T28" s="32"/>
      <c r="U28" s="50"/>
      <c r="V28" s="50"/>
      <c r="W28" s="1"/>
      <c r="X28" s="1"/>
      <c r="Y28" s="1"/>
      <c r="Z28" s="1"/>
      <c r="AA28" s="1"/>
      <c r="AB28" s="1"/>
      <c r="AC28" s="1"/>
      <c r="AD28" s="1"/>
      <c r="AE28" s="1"/>
      <c r="AH28" s="5"/>
      <c r="AI28" s="5"/>
      <c r="AJ28" s="5"/>
      <c r="AK28" s="5"/>
      <c r="AL28" s="5"/>
      <c r="AM28" s="1"/>
      <c r="AN28" s="1"/>
      <c r="AO28" s="1"/>
    </row>
    <row r="29" spans="1:48">
      <c r="B29" s="878" t="s">
        <v>510</v>
      </c>
      <c r="C29" s="449"/>
      <c r="D29" s="449"/>
      <c r="E29" s="449"/>
      <c r="F29" s="449"/>
      <c r="G29" s="449"/>
      <c r="H29" s="449"/>
      <c r="I29" s="449"/>
      <c r="J29" s="449"/>
      <c r="K29" s="44"/>
      <c r="L29" s="32"/>
      <c r="M29" s="32"/>
      <c r="N29" s="32"/>
      <c r="O29" s="32"/>
      <c r="P29" s="32"/>
      <c r="Q29" s="32"/>
      <c r="R29" s="32"/>
      <c r="S29" s="32"/>
      <c r="T29" s="32"/>
      <c r="U29" s="50"/>
      <c r="V29" s="50"/>
      <c r="W29" s="1"/>
      <c r="X29" s="1"/>
      <c r="Y29" s="1"/>
      <c r="Z29" s="1"/>
      <c r="AA29" s="1"/>
      <c r="AB29" s="1"/>
      <c r="AC29" s="1"/>
      <c r="AD29" s="1"/>
      <c r="AE29" s="1"/>
      <c r="AH29" s="5"/>
      <c r="AI29" s="5"/>
      <c r="AJ29" s="5"/>
      <c r="AK29" s="5"/>
      <c r="AL29" s="5"/>
      <c r="AM29" s="1"/>
      <c r="AN29" s="1"/>
      <c r="AO29" s="1"/>
    </row>
    <row r="30" spans="1:48">
      <c r="A30" s="28"/>
      <c r="B30" s="223" t="s">
        <v>106</v>
      </c>
      <c r="C30" s="274" t="s">
        <v>799</v>
      </c>
      <c r="D30" s="3">
        <f t="shared" ref="D30:D33" si="5">E30+F30</f>
        <v>1.334545952654187</v>
      </c>
      <c r="E30" s="3">
        <f>IF(LEN($C30)&gt;0,'Intersection 1'!$F$164,0)</f>
        <v>0.46205478156354596</v>
      </c>
      <c r="F30" s="74">
        <f>IF(LEN($C30)&gt;0,'Intersection 1'!$I$164,0)</f>
        <v>0.87249117109064089</v>
      </c>
      <c r="G30" s="273">
        <v>2</v>
      </c>
      <c r="H30" s="74">
        <f>+'Intersection 1'!$F$53</f>
        <v>0.81</v>
      </c>
      <c r="I30" s="3">
        <f>1/(1+H30*D30)</f>
        <v>0.4805423081448324</v>
      </c>
      <c r="J30" s="185">
        <f>IF(LEN($C30)&gt;0,I30*+D30+((1-I30)*G30),0)</f>
        <v>1.6802211761241226</v>
      </c>
      <c r="K30" s="8"/>
      <c r="L30" s="50"/>
      <c r="M30" s="50"/>
      <c r="N30" s="50"/>
      <c r="O30" s="5"/>
      <c r="P30" s="1"/>
      <c r="Q30" s="5"/>
      <c r="S30" s="5"/>
      <c r="T30" s="1"/>
      <c r="U30" s="5"/>
      <c r="W30" s="44"/>
      <c r="X30" s="44"/>
      <c r="Y30" s="44"/>
      <c r="Z30" s="44"/>
      <c r="AA30" s="44"/>
      <c r="AB30" s="44"/>
      <c r="AC30" s="44"/>
      <c r="AD30" s="44"/>
      <c r="AE30" s="44"/>
      <c r="AH30" s="5"/>
      <c r="AI30" s="5"/>
      <c r="AJ30" s="5"/>
      <c r="AK30" s="1"/>
      <c r="AL30" s="5"/>
      <c r="AM30" s="1"/>
      <c r="AN30" s="1"/>
      <c r="AO30" s="1"/>
    </row>
    <row r="31" spans="1:48">
      <c r="A31" s="72"/>
      <c r="B31" s="200" t="s">
        <v>107</v>
      </c>
      <c r="C31" s="274" t="s">
        <v>799</v>
      </c>
      <c r="D31" s="3">
        <f t="shared" si="5"/>
        <v>1.4882886108483206</v>
      </c>
      <c r="E31" s="3">
        <f>IF(LEN($C31)&gt;0,'Intersection 2'!$F$164,0)</f>
        <v>0.50006497324503585</v>
      </c>
      <c r="F31" s="74">
        <f>IF(LEN($C31)&gt;0,'Intersection 2'!$I$164,0)</f>
        <v>0.98822363760328491</v>
      </c>
      <c r="G31" s="273">
        <v>6</v>
      </c>
      <c r="H31" s="74">
        <f>+'Intersection 2'!$F$53</f>
        <v>1.39</v>
      </c>
      <c r="I31" s="3">
        <f t="shared" ref="I31:I38" si="6">1/(1+H31*D31)</f>
        <v>0.32586864198550536</v>
      </c>
      <c r="J31" s="185">
        <f>IF(LEN($C31)&gt;0,I31*+D31+((1-I31)*G31),0)</f>
        <v>4.5297747365866048</v>
      </c>
      <c r="L31" s="21"/>
      <c r="M31" s="1"/>
      <c r="N31" s="1"/>
      <c r="O31" s="1"/>
      <c r="P31" s="1"/>
      <c r="S31" s="1"/>
      <c r="T31" s="1"/>
      <c r="W31" s="32"/>
      <c r="X31" s="32"/>
      <c r="Y31" s="32"/>
      <c r="Z31" s="32"/>
      <c r="AA31" s="32"/>
      <c r="AB31" s="32"/>
      <c r="AC31" s="32"/>
      <c r="AD31" s="32"/>
      <c r="AE31" s="32"/>
      <c r="AH31" s="5"/>
      <c r="AI31" s="5"/>
      <c r="AJ31" s="1"/>
      <c r="AK31" s="1"/>
      <c r="AL31" s="1"/>
      <c r="AM31" s="1"/>
      <c r="AN31" s="1"/>
      <c r="AO31" s="1"/>
    </row>
    <row r="32" spans="1:48">
      <c r="A32" s="50"/>
      <c r="B32" s="223" t="s">
        <v>115</v>
      </c>
      <c r="C32" s="274"/>
      <c r="D32" s="268">
        <f t="shared" si="5"/>
        <v>0</v>
      </c>
      <c r="E32" s="208"/>
      <c r="F32" s="209"/>
      <c r="G32" s="207"/>
      <c r="H32" s="210"/>
      <c r="I32" s="73">
        <f t="shared" si="6"/>
        <v>1</v>
      </c>
      <c r="J32" s="185">
        <f t="shared" ref="J32:J38" si="7">+I32*+D32+((1-I32)*G32)</f>
        <v>0</v>
      </c>
      <c r="L32" s="50"/>
      <c r="W32" s="32"/>
      <c r="X32" s="32"/>
      <c r="Y32" s="32"/>
      <c r="Z32" s="32"/>
      <c r="AA32" s="32"/>
      <c r="AB32" s="32"/>
      <c r="AC32" s="32"/>
      <c r="AD32" s="32"/>
      <c r="AE32" s="32"/>
      <c r="AH32" s="1"/>
      <c r="AI32" s="1"/>
      <c r="AJ32" s="1"/>
      <c r="AK32" s="1"/>
      <c r="AL32" s="63"/>
      <c r="AM32" s="63"/>
      <c r="AN32" s="63"/>
      <c r="AO32" s="63"/>
    </row>
    <row r="33" spans="1:41">
      <c r="A33" s="50"/>
      <c r="B33" s="200" t="s">
        <v>116</v>
      </c>
      <c r="C33" s="274"/>
      <c r="D33" s="268">
        <f t="shared" si="5"/>
        <v>0</v>
      </c>
      <c r="E33" s="208"/>
      <c r="F33" s="209"/>
      <c r="G33" s="207"/>
      <c r="H33" s="210"/>
      <c r="I33" s="73">
        <f t="shared" si="6"/>
        <v>1</v>
      </c>
      <c r="J33" s="185">
        <f t="shared" si="7"/>
        <v>0</v>
      </c>
      <c r="O33" s="29"/>
      <c r="P33" s="29"/>
      <c r="Q33" s="29"/>
      <c r="R33" s="27"/>
      <c r="S33" s="29"/>
      <c r="T33" s="29"/>
      <c r="U33" s="29"/>
      <c r="V33" s="27"/>
      <c r="W33" s="48"/>
      <c r="X33" s="48"/>
      <c r="Y33" s="48"/>
      <c r="Z33" s="48"/>
      <c r="AA33" s="48"/>
      <c r="AB33" s="48"/>
      <c r="AC33" s="48"/>
      <c r="AD33" s="48"/>
      <c r="AE33" s="48"/>
      <c r="AH33" s="1"/>
      <c r="AI33" s="1"/>
      <c r="AJ33" s="1"/>
      <c r="AK33" s="1"/>
      <c r="AL33" s="64"/>
      <c r="AM33" s="64"/>
      <c r="AN33" s="64"/>
      <c r="AO33" s="64"/>
    </row>
    <row r="34" spans="1:41">
      <c r="A34" s="50"/>
      <c r="B34" s="878" t="s">
        <v>507</v>
      </c>
      <c r="C34" s="449"/>
      <c r="D34" s="449"/>
      <c r="E34" s="449"/>
      <c r="F34" s="449"/>
      <c r="G34" s="449"/>
      <c r="H34" s="449"/>
      <c r="I34" s="449"/>
      <c r="J34" s="449"/>
      <c r="O34" s="29"/>
      <c r="P34" s="29"/>
      <c r="Q34" s="29"/>
      <c r="R34" s="27"/>
      <c r="S34" s="29"/>
      <c r="T34" s="29"/>
      <c r="U34" s="29"/>
      <c r="V34" s="27"/>
      <c r="W34" s="48"/>
      <c r="X34" s="48"/>
      <c r="Y34" s="48"/>
      <c r="Z34" s="48"/>
      <c r="AA34" s="48"/>
      <c r="AB34" s="48"/>
      <c r="AC34" s="48"/>
      <c r="AD34" s="48"/>
      <c r="AE34" s="48"/>
      <c r="AH34" s="1"/>
      <c r="AI34" s="1"/>
      <c r="AJ34" s="1"/>
      <c r="AK34" s="1"/>
      <c r="AL34" s="64"/>
      <c r="AM34" s="64"/>
      <c r="AN34" s="64"/>
      <c r="AO34" s="64"/>
    </row>
    <row r="35" spans="1:41">
      <c r="A35" s="42"/>
      <c r="B35" s="223" t="s">
        <v>106</v>
      </c>
      <c r="C35" s="224" t="str">
        <f>IF(ISBLANK(C30),"",C30)</f>
        <v>From worksheet</v>
      </c>
      <c r="D35" s="73">
        <f t="shared" ref="D35:D38" si="8">E35+F35</f>
        <v>0.22070436721094103</v>
      </c>
      <c r="E35" s="73">
        <f>IF(LEN($C35)&gt;0,'Intersection 1'!$N$86,0)</f>
        <v>6.9521875671446437E-2</v>
      </c>
      <c r="F35" s="73">
        <f>IF(LEN($C35)&gt;0,'Intersection 1'!$N$88,0)</f>
        <v>0.15118249153949459</v>
      </c>
      <c r="G35" s="273">
        <v>3</v>
      </c>
      <c r="H35" s="74">
        <f>+'Intersection 1'!$F$85</f>
        <v>1.34</v>
      </c>
      <c r="I35" s="3">
        <f t="shared" si="6"/>
        <v>0.77175747228754044</v>
      </c>
      <c r="J35" s="185">
        <f>IF(LEN($C35)&gt;0,I35*+D35+((1-I35)*G35),0)</f>
        <v>0.8550578276989157</v>
      </c>
      <c r="K35" s="34"/>
      <c r="O35" s="27"/>
      <c r="P35" s="27"/>
      <c r="Q35" s="27"/>
      <c r="R35" s="27"/>
      <c r="S35" s="27"/>
      <c r="T35" s="27"/>
      <c r="U35" s="27"/>
      <c r="V35" s="27"/>
      <c r="W35" s="49"/>
      <c r="X35" s="49"/>
      <c r="Y35" s="49"/>
      <c r="Z35" s="49"/>
      <c r="AA35" s="49"/>
      <c r="AB35" s="49"/>
      <c r="AC35" s="49"/>
      <c r="AD35" s="49"/>
      <c r="AE35" s="49"/>
      <c r="AH35" s="21"/>
      <c r="AI35" s="1"/>
      <c r="AJ35" s="38"/>
      <c r="AK35" s="1"/>
      <c r="AL35" s="61"/>
      <c r="AM35" s="61"/>
      <c r="AN35" s="65"/>
      <c r="AO35" s="65"/>
    </row>
    <row r="36" spans="1:41">
      <c r="A36" s="42"/>
      <c r="B36" s="200" t="s">
        <v>107</v>
      </c>
      <c r="C36" s="224" t="str">
        <f>IF(ISBLANK(C31),"",C31)</f>
        <v>From worksheet</v>
      </c>
      <c r="D36" s="73">
        <f t="shared" si="8"/>
        <v>9.9546895723296502E-2</v>
      </c>
      <c r="E36" s="73">
        <f>IF(LEN($C36)&gt;0,'Intersection 2'!$N$86,0)</f>
        <v>3.1058631465668503E-2</v>
      </c>
      <c r="F36" s="73">
        <f>IF(LEN($C36)&gt;0,'Intersection 2'!$N$88,0)</f>
        <v>6.8488264257627995E-2</v>
      </c>
      <c r="G36" s="273">
        <v>0</v>
      </c>
      <c r="H36" s="74">
        <f>+'Intersection 2'!$F$85</f>
        <v>0.11</v>
      </c>
      <c r="I36" s="3">
        <f t="shared" si="6"/>
        <v>0.98916844867457188</v>
      </c>
      <c r="J36" s="185">
        <f>IF(LEN($C36)&gt;0,I36*+D36+((1-I36)*G36),0)</f>
        <v>9.8468648412982571E-2</v>
      </c>
      <c r="K36" s="5"/>
      <c r="L36" s="51"/>
      <c r="M36" s="1"/>
      <c r="N36" s="1"/>
      <c r="O36" s="53"/>
      <c r="P36" s="53"/>
      <c r="Q36" s="53"/>
      <c r="R36" s="1"/>
      <c r="S36" s="24"/>
      <c r="T36" s="24"/>
      <c r="U36" s="24"/>
      <c r="V36" s="24"/>
      <c r="W36" s="5"/>
      <c r="X36" s="1"/>
      <c r="Y36" s="1"/>
      <c r="Z36" s="1"/>
      <c r="AA36" s="1"/>
      <c r="AB36" s="1"/>
      <c r="AC36" s="1"/>
      <c r="AD36" s="1"/>
      <c r="AE36" s="1"/>
      <c r="AH36" s="1"/>
      <c r="AI36" s="1"/>
      <c r="AJ36" s="1"/>
      <c r="AK36" s="1"/>
      <c r="AL36" s="61"/>
      <c r="AM36" s="61"/>
      <c r="AN36" s="61"/>
      <c r="AO36" s="61"/>
    </row>
    <row r="37" spans="1:41">
      <c r="A37" s="22"/>
      <c r="B37" s="223" t="s">
        <v>115</v>
      </c>
      <c r="C37" s="43" t="str">
        <f>IF(ISBLANK(C32),"",C32)</f>
        <v/>
      </c>
      <c r="D37" s="73">
        <f t="shared" si="8"/>
        <v>0</v>
      </c>
      <c r="E37" s="211"/>
      <c r="F37" s="211"/>
      <c r="G37" s="207"/>
      <c r="H37" s="201"/>
      <c r="I37" s="73">
        <f t="shared" si="6"/>
        <v>1</v>
      </c>
      <c r="J37" s="185">
        <f t="shared" si="7"/>
        <v>0</v>
      </c>
      <c r="K37" s="5"/>
      <c r="L37" s="51"/>
      <c r="M37" s="1"/>
      <c r="N37" s="1"/>
      <c r="O37" s="53"/>
      <c r="P37" s="53"/>
      <c r="Q37" s="53"/>
      <c r="R37" s="1"/>
      <c r="S37" s="24"/>
      <c r="T37" s="24"/>
      <c r="U37" s="24"/>
      <c r="V37" s="24"/>
      <c r="W37" s="5"/>
      <c r="X37" s="1"/>
      <c r="Y37" s="1"/>
      <c r="Z37" s="1"/>
      <c r="AA37" s="1"/>
      <c r="AB37" s="1"/>
      <c r="AC37" s="1"/>
      <c r="AD37" s="1"/>
      <c r="AE37" s="1"/>
      <c r="AH37" s="1"/>
      <c r="AI37" s="1"/>
      <c r="AJ37" s="1"/>
      <c r="AK37" s="1"/>
      <c r="AL37" s="61"/>
      <c r="AM37" s="61"/>
      <c r="AN37" s="61"/>
      <c r="AO37" s="61"/>
    </row>
    <row r="38" spans="1:41" ht="13.8" thickBot="1">
      <c r="A38" s="20"/>
      <c r="B38" s="235" t="s">
        <v>116</v>
      </c>
      <c r="C38" s="275" t="str">
        <f>IF(ISBLANK(C33),"",C33)</f>
        <v/>
      </c>
      <c r="D38" s="269">
        <f t="shared" si="8"/>
        <v>0</v>
      </c>
      <c r="E38" s="278"/>
      <c r="F38" s="278"/>
      <c r="G38" s="212"/>
      <c r="H38" s="213"/>
      <c r="I38" s="73">
        <f t="shared" si="6"/>
        <v>1</v>
      </c>
      <c r="J38" s="185">
        <f t="shared" si="7"/>
        <v>0</v>
      </c>
      <c r="K38" s="45"/>
      <c r="L38" s="51"/>
      <c r="M38" s="52"/>
      <c r="N38" s="52"/>
      <c r="Q38" s="24"/>
      <c r="R38" s="24"/>
      <c r="S38" s="24"/>
      <c r="T38" s="24"/>
      <c r="U38" s="24"/>
      <c r="V38" s="24"/>
      <c r="W38" s="10"/>
      <c r="X38" s="10"/>
      <c r="Y38" s="10"/>
      <c r="Z38" s="10"/>
      <c r="AA38" s="10"/>
      <c r="AB38" s="10"/>
      <c r="AC38" s="10"/>
      <c r="AD38" s="10"/>
      <c r="AE38" s="10"/>
      <c r="AH38" s="39"/>
      <c r="AI38" s="26"/>
      <c r="AJ38" s="38"/>
      <c r="AK38" s="1"/>
      <c r="AL38" s="61"/>
      <c r="AM38" s="61"/>
      <c r="AN38" s="65"/>
      <c r="AO38" s="65"/>
    </row>
    <row r="39" spans="1:41" ht="14.4" thickTop="1" thickBot="1">
      <c r="A39" s="25"/>
      <c r="B39" s="884" t="s">
        <v>108</v>
      </c>
      <c r="C39" s="885"/>
      <c r="D39" s="75">
        <f>SUMIF($C14:$C17,"&lt;&gt;",D14:D17)+SUMIF($C19:$C22,"&lt;&gt;",D19:D22)+SUMIF($C24:$C27,"&lt;&gt;",D24:D27)+SUMIF($C30:$C33,"&lt;&gt;",D30:D33)+SUMIF($C35:$C38,"&lt;&gt;",D35:D38)</f>
        <v>14.414444169930038</v>
      </c>
      <c r="E39" s="75">
        <f>SUMIF($C14:$C17,"&lt;&gt;",E14:E17)+SUMIF($C19:$C22,"&lt;&gt;",E19:E22)+SUMIF($C24:$C27,"&lt;&gt;",E24:E27)+SUMIF($C30:$C33,"&lt;&gt;",E30:E33)+SUMIF($C35:$C38,"&lt;&gt;",E35:E38)</f>
        <v>4.8201093832184174</v>
      </c>
      <c r="F39" s="75">
        <f>SUMIF($C14:$C17,"&lt;&gt;",F14:F17)+SUMIF($C19:$C22,"&lt;&gt;",F19:F22)+SUMIF($C24:$C27,"&lt;&gt;",F24:F27)+SUMIF($C30:$C33,"&lt;&gt;",F30:F33)+SUMIF($C35:$C38,"&lt;&gt;",F35:F38)</f>
        <v>9.594334786711622</v>
      </c>
      <c r="G39" s="142">
        <f>IF(COUNTBLANK($G$14:$G$17)+COUNTBLANK($G$19:$G$22)+COUNTBLANK($G$24:$G$27)+COUNTBLANK($G$30:$G$33)+COUNTBLANK($G$35:$G$38)&lt;20,SUMIF($C14:$C17,"&lt;&gt;",G14:G17)+SUMIF($C19:$C22,"&lt;&gt;",G19:G22)+SUMIF($C24:$C27,"&lt;&gt;",G24:G27)+SUMIF($C30:$C33,"&lt;&gt;",G30:G33)+SUMIF($C35:$C38,"&lt;&gt;",G35:G38),"--")</f>
        <v>34</v>
      </c>
      <c r="H39" s="78" t="s">
        <v>13</v>
      </c>
      <c r="I39" s="78" t="s">
        <v>13</v>
      </c>
      <c r="J39" s="187">
        <f>SUM(J14:J27)+SUM(J30:J38)</f>
        <v>25.482950513333336</v>
      </c>
      <c r="K39" s="45"/>
      <c r="N39" s="10"/>
      <c r="O39" s="10"/>
      <c r="P39" s="10"/>
      <c r="Q39" s="10"/>
      <c r="R39" s="10"/>
      <c r="S39" s="10"/>
      <c r="T39" s="10"/>
      <c r="U39" s="10"/>
      <c r="V39" s="10"/>
      <c r="W39" s="10"/>
      <c r="X39" s="10"/>
      <c r="Y39" s="10"/>
      <c r="Z39" s="10"/>
      <c r="AA39" s="10"/>
      <c r="AB39" s="10"/>
      <c r="AC39" s="10"/>
      <c r="AD39" s="10"/>
      <c r="AE39" s="10"/>
      <c r="AH39" s="26"/>
      <c r="AI39" s="26"/>
      <c r="AJ39" s="1"/>
      <c r="AK39" s="1"/>
      <c r="AL39" s="61"/>
      <c r="AM39" s="61"/>
      <c r="AN39" s="61"/>
      <c r="AO39" s="61"/>
    </row>
    <row r="40" spans="1:41">
      <c r="A40" s="23"/>
      <c r="B40" s="33"/>
      <c r="C40" s="28"/>
      <c r="D40" s="28"/>
      <c r="F40" s="23"/>
      <c r="H40" s="23"/>
      <c r="K40" s="45"/>
      <c r="N40" s="10"/>
      <c r="O40" s="10"/>
      <c r="P40" s="10"/>
      <c r="Q40" s="10"/>
      <c r="R40" s="10"/>
      <c r="S40" s="10"/>
      <c r="T40" s="10"/>
      <c r="U40" s="10"/>
      <c r="V40" s="10"/>
      <c r="W40" s="10"/>
      <c r="X40" s="10"/>
      <c r="Y40" s="10"/>
      <c r="Z40" s="10"/>
      <c r="AA40" s="10"/>
      <c r="AB40" s="10"/>
      <c r="AC40" s="10"/>
      <c r="AD40" s="10"/>
      <c r="AE40" s="10"/>
      <c r="AH40" s="26"/>
      <c r="AI40" s="26"/>
      <c r="AJ40" s="38"/>
      <c r="AK40" s="22"/>
      <c r="AL40" s="22"/>
      <c r="AM40" s="22"/>
      <c r="AN40" s="22"/>
      <c r="AO40" s="22"/>
    </row>
    <row r="41" spans="1:41">
      <c r="A41" s="23"/>
      <c r="B41" s="33"/>
      <c r="C41" s="28"/>
      <c r="D41" s="28"/>
      <c r="F41" s="23"/>
      <c r="H41" s="23"/>
      <c r="K41" s="45"/>
      <c r="N41" s="10"/>
      <c r="O41" s="10"/>
      <c r="P41" s="10"/>
      <c r="Q41" s="10"/>
      <c r="R41" s="10"/>
      <c r="S41" s="10"/>
      <c r="T41" s="10"/>
      <c r="U41" s="10"/>
      <c r="V41" s="10"/>
      <c r="W41" s="10"/>
      <c r="X41" s="10"/>
      <c r="Y41" s="10"/>
      <c r="Z41" s="10"/>
      <c r="AA41" s="10"/>
      <c r="AB41" s="10"/>
      <c r="AC41" s="10"/>
      <c r="AD41" s="10"/>
      <c r="AE41" s="10"/>
      <c r="AH41" s="26"/>
      <c r="AI41" s="26"/>
      <c r="AJ41" s="38"/>
      <c r="AK41" s="22"/>
      <c r="AL41" s="22"/>
      <c r="AM41" s="22"/>
      <c r="AN41" s="22"/>
      <c r="AO41" s="22"/>
    </row>
    <row r="42" spans="1:41" ht="13.8" thickBot="1">
      <c r="A42" s="23"/>
      <c r="B42" s="33"/>
      <c r="C42" s="28"/>
      <c r="D42" s="28"/>
      <c r="F42" s="23"/>
      <c r="H42" s="23"/>
      <c r="K42" s="45"/>
      <c r="N42" s="10"/>
      <c r="O42" s="10"/>
      <c r="P42" s="10"/>
      <c r="Q42" s="10"/>
      <c r="R42" s="10"/>
      <c r="S42" s="10"/>
      <c r="T42" s="10"/>
      <c r="U42" s="10"/>
      <c r="V42" s="10"/>
      <c r="W42" s="10"/>
      <c r="X42" s="10"/>
      <c r="Y42" s="10"/>
      <c r="Z42" s="10"/>
      <c r="AA42" s="10"/>
      <c r="AB42" s="10"/>
      <c r="AC42" s="10"/>
      <c r="AD42" s="10"/>
      <c r="AE42" s="10"/>
      <c r="AH42" s="26"/>
      <c r="AI42" s="26"/>
      <c r="AJ42" s="38"/>
      <c r="AK42" s="22"/>
      <c r="AL42" s="22"/>
      <c r="AM42" s="22"/>
      <c r="AN42" s="22"/>
      <c r="AO42" s="22"/>
    </row>
    <row r="43" spans="1:41" ht="13.8" thickTop="1">
      <c r="A43" s="23"/>
      <c r="B43" s="33"/>
      <c r="C43" s="28"/>
      <c r="E43" s="855" t="s">
        <v>511</v>
      </c>
      <c r="F43" s="879"/>
      <c r="G43" s="879"/>
      <c r="H43" s="879"/>
      <c r="I43" s="32"/>
      <c r="N43" s="10"/>
      <c r="O43" s="10"/>
      <c r="P43" s="10"/>
      <c r="Q43" s="10"/>
      <c r="R43" s="10"/>
      <c r="S43" s="10"/>
      <c r="T43" s="10"/>
      <c r="U43" s="10"/>
      <c r="V43" s="10"/>
      <c r="W43" s="10"/>
      <c r="X43" s="10"/>
      <c r="Y43" s="10"/>
      <c r="Z43" s="10"/>
      <c r="AA43" s="10"/>
      <c r="AB43" s="10"/>
      <c r="AC43" s="10"/>
      <c r="AD43" s="10"/>
      <c r="AE43" s="10"/>
      <c r="AH43" s="26"/>
      <c r="AI43" s="26"/>
      <c r="AJ43" s="38"/>
      <c r="AK43" s="22"/>
      <c r="AL43" s="22"/>
      <c r="AM43" s="22"/>
      <c r="AN43" s="22"/>
      <c r="AO43" s="22"/>
    </row>
    <row r="44" spans="1:41" ht="13.8" thickBot="1">
      <c r="A44" s="23"/>
      <c r="B44" s="33"/>
      <c r="C44" s="28"/>
      <c r="E44" s="880"/>
      <c r="F44" s="880"/>
      <c r="G44" s="880"/>
      <c r="H44" s="880"/>
      <c r="I44" s="32"/>
      <c r="N44" s="10"/>
      <c r="O44" s="10"/>
      <c r="P44" s="10"/>
      <c r="Q44" s="10"/>
      <c r="R44" s="10"/>
      <c r="S44" s="10"/>
      <c r="T44" s="10"/>
      <c r="U44" s="10"/>
      <c r="V44" s="10"/>
      <c r="W44" s="10"/>
      <c r="X44" s="10"/>
      <c r="Y44" s="10"/>
      <c r="Z44" s="10"/>
      <c r="AA44" s="10"/>
      <c r="AB44" s="10"/>
      <c r="AC44" s="10"/>
      <c r="AD44" s="10"/>
      <c r="AE44" s="10"/>
      <c r="AH44" s="26"/>
      <c r="AI44" s="26"/>
      <c r="AJ44" s="38"/>
      <c r="AK44" s="22"/>
      <c r="AL44" s="22"/>
      <c r="AM44" s="22"/>
      <c r="AN44" s="22"/>
      <c r="AO44" s="22"/>
    </row>
    <row r="45" spans="1:41">
      <c r="A45" s="23"/>
      <c r="B45" s="33"/>
      <c r="C45" s="28"/>
      <c r="E45" s="406" t="s">
        <v>15</v>
      </c>
      <c r="F45" s="298"/>
      <c r="G45" s="30" t="s">
        <v>16</v>
      </c>
      <c r="H45" s="67" t="s">
        <v>17</v>
      </c>
      <c r="N45" s="10"/>
      <c r="O45" s="10"/>
      <c r="P45" s="10"/>
      <c r="Q45" s="10"/>
      <c r="R45" s="10"/>
      <c r="S45" s="10"/>
      <c r="T45" s="10"/>
      <c r="U45" s="10"/>
      <c r="V45" s="10"/>
      <c r="W45" s="10"/>
      <c r="X45" s="10"/>
      <c r="Y45" s="10"/>
      <c r="Z45" s="10"/>
      <c r="AA45" s="10"/>
      <c r="AB45" s="10"/>
      <c r="AC45" s="10"/>
      <c r="AD45" s="10"/>
      <c r="AE45" s="10"/>
      <c r="AH45" s="26"/>
      <c r="AI45" s="26"/>
      <c r="AJ45" s="38"/>
      <c r="AK45" s="22"/>
      <c r="AL45" s="22"/>
      <c r="AM45" s="22"/>
      <c r="AN45" s="22"/>
      <c r="AO45" s="22"/>
    </row>
    <row r="46" spans="1:41" ht="16.2" thickBot="1">
      <c r="A46" s="23"/>
      <c r="B46" s="33"/>
      <c r="C46" s="28"/>
      <c r="E46" s="655" t="s">
        <v>512</v>
      </c>
      <c r="F46" s="655"/>
      <c r="G46" s="136" t="s">
        <v>513</v>
      </c>
      <c r="H46" s="5" t="s">
        <v>514</v>
      </c>
      <c r="N46" s="10"/>
      <c r="O46" s="10"/>
      <c r="P46" s="10"/>
      <c r="Q46" s="10"/>
      <c r="R46" s="10"/>
      <c r="S46" s="10"/>
      <c r="T46" s="10"/>
      <c r="U46" s="10"/>
      <c r="V46" s="10"/>
      <c r="W46" s="10"/>
      <c r="X46" s="10"/>
      <c r="Y46" s="10"/>
      <c r="Z46" s="10"/>
      <c r="AA46" s="10"/>
      <c r="AB46" s="10"/>
      <c r="AC46" s="10"/>
      <c r="AD46" s="10"/>
      <c r="AE46" s="10"/>
      <c r="AH46" s="26"/>
      <c r="AI46" s="26"/>
      <c r="AJ46" s="38"/>
      <c r="AK46" s="22"/>
      <c r="AL46" s="22"/>
      <c r="AM46" s="22"/>
      <c r="AN46" s="22"/>
      <c r="AO46" s="22"/>
    </row>
    <row r="47" spans="1:41">
      <c r="A47" s="23"/>
      <c r="B47" s="33"/>
      <c r="C47" s="28"/>
      <c r="E47" s="590" t="s">
        <v>111</v>
      </c>
      <c r="F47" s="590"/>
      <c r="G47" s="590"/>
      <c r="H47" s="590"/>
      <c r="I47" s="5"/>
      <c r="N47" s="10"/>
      <c r="O47" s="10"/>
      <c r="P47" s="10"/>
      <c r="Q47" s="10"/>
      <c r="R47" s="10"/>
      <c r="S47" s="10"/>
      <c r="T47" s="10"/>
      <c r="U47" s="10"/>
      <c r="V47" s="10"/>
      <c r="W47" s="10"/>
      <c r="X47" s="10"/>
      <c r="Y47" s="10"/>
      <c r="Z47" s="10"/>
      <c r="AA47" s="10"/>
      <c r="AB47" s="10"/>
      <c r="AC47" s="10"/>
      <c r="AD47" s="10"/>
      <c r="AE47" s="10"/>
      <c r="AH47" s="26"/>
      <c r="AI47" s="26"/>
      <c r="AJ47" s="38"/>
      <c r="AK47" s="22"/>
      <c r="AL47" s="22"/>
      <c r="AM47" s="22"/>
      <c r="AN47" s="22"/>
      <c r="AO47" s="22"/>
    </row>
    <row r="48" spans="1:41">
      <c r="A48" s="23"/>
      <c r="B48" s="33"/>
      <c r="C48" s="28"/>
      <c r="E48" s="326" t="s">
        <v>505</v>
      </c>
      <c r="F48" s="334"/>
      <c r="G48" s="74">
        <f>+'Segment 1'!$M$138</f>
        <v>0.1837976351371742</v>
      </c>
      <c r="H48" s="188">
        <f>+'Segment 1'!$M$148</f>
        <v>0.51942809930070977</v>
      </c>
      <c r="N48" s="10"/>
      <c r="O48" s="10"/>
      <c r="P48" s="10"/>
      <c r="Q48" s="10"/>
      <c r="R48" s="10"/>
      <c r="S48" s="10"/>
      <c r="T48" s="10"/>
      <c r="U48" s="10"/>
      <c r="V48" s="10"/>
      <c r="W48" s="10"/>
      <c r="X48" s="10"/>
      <c r="Y48" s="10"/>
      <c r="Z48" s="10"/>
      <c r="AA48" s="10"/>
      <c r="AB48" s="10"/>
      <c r="AC48" s="10"/>
      <c r="AD48" s="10"/>
      <c r="AE48" s="10"/>
      <c r="AH48" s="26"/>
      <c r="AI48" s="26"/>
      <c r="AJ48" s="38"/>
      <c r="AK48" s="22"/>
      <c r="AL48" s="22"/>
      <c r="AM48" s="22"/>
      <c r="AN48" s="22"/>
      <c r="AO48" s="22"/>
    </row>
    <row r="49" spans="1:41">
      <c r="A49" s="23"/>
      <c r="B49" s="33"/>
      <c r="C49" s="28"/>
      <c r="E49" s="326" t="s">
        <v>504</v>
      </c>
      <c r="F49" s="334"/>
      <c r="G49" s="74">
        <f>+'Segment 2'!$M$138</f>
        <v>6.2322979500011269E-2</v>
      </c>
      <c r="H49" s="188">
        <f>+'Segment 2'!$M$148</f>
        <v>1.3120627263160267E-2</v>
      </c>
      <c r="N49" s="10"/>
      <c r="O49" s="10"/>
      <c r="P49" s="10"/>
      <c r="Q49" s="10"/>
      <c r="R49" s="10"/>
      <c r="S49" s="10"/>
      <c r="T49" s="10"/>
      <c r="U49" s="10"/>
      <c r="V49" s="10"/>
      <c r="W49" s="10"/>
      <c r="X49" s="10"/>
      <c r="Y49" s="10"/>
      <c r="Z49" s="10"/>
      <c r="AA49" s="10"/>
      <c r="AB49" s="10"/>
      <c r="AC49" s="10"/>
      <c r="AD49" s="10"/>
      <c r="AE49" s="10"/>
      <c r="AH49" s="26"/>
      <c r="AI49" s="26"/>
      <c r="AJ49" s="38"/>
      <c r="AK49" s="22"/>
      <c r="AL49" s="22"/>
      <c r="AM49" s="22"/>
      <c r="AN49" s="22"/>
      <c r="AO49" s="22"/>
    </row>
    <row r="50" spans="1:41">
      <c r="A50" s="23"/>
      <c r="B50" s="33"/>
      <c r="C50" s="28"/>
      <c r="E50" s="326" t="s">
        <v>113</v>
      </c>
      <c r="F50" s="334"/>
      <c r="G50" s="214"/>
      <c r="H50" s="215"/>
      <c r="N50" s="10"/>
      <c r="O50" s="10"/>
      <c r="P50" s="10"/>
      <c r="Q50" s="10"/>
      <c r="R50" s="10"/>
      <c r="S50" s="10"/>
      <c r="T50" s="10"/>
      <c r="U50" s="10"/>
      <c r="V50" s="10"/>
      <c r="W50" s="10"/>
      <c r="X50" s="10"/>
      <c r="Y50" s="10"/>
      <c r="Z50" s="10"/>
      <c r="AA50" s="10"/>
      <c r="AB50" s="10"/>
      <c r="AC50" s="10"/>
      <c r="AD50" s="10"/>
      <c r="AE50" s="10"/>
      <c r="AH50" s="26"/>
      <c r="AI50" s="26"/>
      <c r="AJ50" s="38"/>
      <c r="AK50" s="22"/>
      <c r="AL50" s="22"/>
      <c r="AM50" s="22"/>
      <c r="AN50" s="22"/>
      <c r="AO50" s="22"/>
    </row>
    <row r="51" spans="1:41">
      <c r="A51" s="23"/>
      <c r="B51" s="33"/>
      <c r="C51" s="28"/>
      <c r="E51" s="326" t="s">
        <v>114</v>
      </c>
      <c r="F51" s="334"/>
      <c r="G51" s="214"/>
      <c r="H51" s="215"/>
      <c r="N51" s="10"/>
      <c r="O51" s="10"/>
      <c r="P51" s="10"/>
      <c r="Q51" s="10"/>
      <c r="R51" s="10"/>
      <c r="S51" s="10"/>
      <c r="T51" s="10"/>
      <c r="U51" s="10"/>
      <c r="V51" s="10"/>
      <c r="W51" s="10"/>
      <c r="X51" s="10"/>
      <c r="Y51" s="10"/>
      <c r="Z51" s="10"/>
      <c r="AA51" s="10"/>
      <c r="AB51" s="10"/>
      <c r="AC51" s="10"/>
      <c r="AD51" s="10"/>
      <c r="AE51" s="10"/>
      <c r="AH51" s="26"/>
      <c r="AI51" s="26"/>
      <c r="AJ51" s="38"/>
      <c r="AK51" s="22"/>
      <c r="AL51" s="22"/>
      <c r="AM51" s="22"/>
      <c r="AN51" s="22"/>
      <c r="AO51" s="22"/>
    </row>
    <row r="52" spans="1:41">
      <c r="A52" s="23"/>
      <c r="B52" s="33"/>
      <c r="C52" s="28"/>
      <c r="E52" s="544" t="s">
        <v>112</v>
      </c>
      <c r="F52" s="543"/>
      <c r="G52" s="543"/>
      <c r="H52" s="472"/>
      <c r="N52" s="10"/>
      <c r="O52" s="10"/>
      <c r="P52" s="10"/>
      <c r="Q52" s="10"/>
      <c r="R52" s="10"/>
      <c r="S52" s="10"/>
      <c r="T52" s="10"/>
      <c r="U52" s="10"/>
      <c r="V52" s="10"/>
      <c r="W52" s="10"/>
      <c r="X52" s="10"/>
      <c r="Y52" s="10"/>
      <c r="Z52" s="10"/>
      <c r="AA52" s="10"/>
      <c r="AB52" s="10"/>
      <c r="AC52" s="10"/>
      <c r="AD52" s="10"/>
      <c r="AE52" s="10"/>
      <c r="AH52" s="26"/>
      <c r="AI52" s="26"/>
      <c r="AJ52" s="38"/>
      <c r="AK52" s="22"/>
      <c r="AL52" s="22"/>
      <c r="AM52" s="22"/>
      <c r="AN52" s="22"/>
      <c r="AO52" s="22"/>
    </row>
    <row r="53" spans="1:41">
      <c r="A53" s="23"/>
      <c r="B53" s="33"/>
      <c r="C53" s="28"/>
      <c r="E53" s="326" t="s">
        <v>106</v>
      </c>
      <c r="F53" s="334"/>
      <c r="G53" s="74">
        <f>+'Intersection 1'!$F$172</f>
        <v>1.5547887266767528E-2</v>
      </c>
      <c r="H53" s="188">
        <f>+'Intersection 1'!$F$173</f>
        <v>1.5547887266767528E-2</v>
      </c>
      <c r="N53" s="10"/>
      <c r="O53" s="10"/>
      <c r="P53" s="10"/>
      <c r="Q53" s="10"/>
      <c r="R53" s="10"/>
      <c r="S53" s="10"/>
      <c r="T53" s="10"/>
      <c r="U53" s="10"/>
      <c r="V53" s="10"/>
      <c r="W53" s="10"/>
      <c r="X53" s="10"/>
      <c r="Y53" s="10"/>
      <c r="Z53" s="10"/>
      <c r="AA53" s="10"/>
      <c r="AB53" s="10"/>
      <c r="AC53" s="10"/>
      <c r="AD53" s="10"/>
      <c r="AE53" s="10"/>
      <c r="AH53" s="26"/>
      <c r="AI53" s="26"/>
      <c r="AJ53" s="38"/>
      <c r="AK53" s="22"/>
      <c r="AL53" s="22"/>
      <c r="AM53" s="22"/>
      <c r="AN53" s="22"/>
      <c r="AO53" s="22"/>
    </row>
    <row r="54" spans="1:41">
      <c r="A54" s="23"/>
      <c r="B54" s="33"/>
      <c r="C54" s="28"/>
      <c r="E54" s="868" t="s">
        <v>107</v>
      </c>
      <c r="F54" s="334"/>
      <c r="G54" s="74">
        <f>+'Intersection 2'!$F$172</f>
        <v>0.24074833840544405</v>
      </c>
      <c r="H54" s="188">
        <f>+'Intersection 2'!$F$173</f>
        <v>9.5359517097651295E-3</v>
      </c>
      <c r="N54" s="10"/>
      <c r="O54" s="10"/>
      <c r="P54" s="10"/>
      <c r="Q54" s="10"/>
      <c r="R54" s="10"/>
      <c r="S54" s="10"/>
      <c r="T54" s="10"/>
      <c r="U54" s="10"/>
      <c r="V54" s="10"/>
      <c r="W54" s="10"/>
      <c r="X54" s="10"/>
      <c r="Y54" s="10"/>
      <c r="Z54" s="10"/>
      <c r="AA54" s="10"/>
      <c r="AB54" s="10"/>
      <c r="AC54" s="10"/>
      <c r="AD54" s="10"/>
      <c r="AE54" s="10"/>
      <c r="AH54" s="26"/>
      <c r="AI54" s="26"/>
      <c r="AJ54" s="38"/>
      <c r="AK54" s="22"/>
      <c r="AL54" s="22"/>
      <c r="AM54" s="22"/>
      <c r="AN54" s="22"/>
      <c r="AO54" s="22"/>
    </row>
    <row r="55" spans="1:41">
      <c r="A55" s="23"/>
      <c r="B55" s="33"/>
      <c r="C55" s="28"/>
      <c r="E55" s="326" t="s">
        <v>115</v>
      </c>
      <c r="F55" s="334"/>
      <c r="G55" s="214"/>
      <c r="H55" s="215"/>
      <c r="N55" s="10"/>
      <c r="O55" s="10"/>
      <c r="P55" s="10"/>
      <c r="Q55" s="10"/>
      <c r="R55" s="10"/>
      <c r="S55" s="10"/>
      <c r="T55" s="10"/>
      <c r="U55" s="10"/>
      <c r="V55" s="10"/>
      <c r="W55" s="10"/>
      <c r="X55" s="10"/>
      <c r="Y55" s="10"/>
      <c r="Z55" s="10"/>
      <c r="AA55" s="10"/>
      <c r="AB55" s="10"/>
      <c r="AC55" s="10"/>
      <c r="AD55" s="10"/>
      <c r="AE55" s="10"/>
      <c r="AH55" s="26"/>
      <c r="AI55" s="26"/>
      <c r="AJ55" s="38"/>
      <c r="AK55" s="22"/>
      <c r="AL55" s="22"/>
      <c r="AM55" s="22"/>
      <c r="AN55" s="22"/>
      <c r="AO55" s="22"/>
    </row>
    <row r="56" spans="1:41" ht="13.8" thickBot="1">
      <c r="A56" s="23"/>
      <c r="B56" s="33"/>
      <c r="C56" s="28"/>
      <c r="E56" s="869" t="s">
        <v>116</v>
      </c>
      <c r="F56" s="870"/>
      <c r="G56" s="216"/>
      <c r="H56" s="217"/>
      <c r="N56" s="10"/>
      <c r="O56" s="10"/>
      <c r="P56" s="10"/>
      <c r="Q56" s="10"/>
      <c r="R56" s="10"/>
      <c r="S56" s="10"/>
      <c r="T56" s="10"/>
      <c r="U56" s="10"/>
      <c r="V56" s="10"/>
      <c r="W56" s="10"/>
      <c r="X56" s="10"/>
      <c r="Y56" s="10"/>
      <c r="Z56" s="10"/>
      <c r="AA56" s="10"/>
      <c r="AB56" s="10"/>
      <c r="AC56" s="10"/>
      <c r="AD56" s="10"/>
      <c r="AE56" s="10"/>
      <c r="AH56" s="26"/>
      <c r="AI56" s="26"/>
      <c r="AJ56" s="38"/>
      <c r="AK56" s="22"/>
      <c r="AL56" s="22"/>
      <c r="AM56" s="22"/>
      <c r="AN56" s="22"/>
      <c r="AO56" s="22"/>
    </row>
    <row r="57" spans="1:41" ht="14.4" thickTop="1" thickBot="1">
      <c r="A57" s="23"/>
      <c r="B57" s="33"/>
      <c r="C57" s="28"/>
      <c r="E57" s="871" t="s">
        <v>108</v>
      </c>
      <c r="F57" s="872"/>
      <c r="G57" s="189">
        <f>SUM($G$48:$G$51,$G$53:$G$56)</f>
        <v>0.50241684030939704</v>
      </c>
      <c r="H57" s="190">
        <f>SUM($H$48:$H$51,$H$53:$H$56)</f>
        <v>0.55763256554040264</v>
      </c>
      <c r="N57" s="10"/>
      <c r="O57" s="10"/>
      <c r="P57" s="10"/>
      <c r="Q57" s="10"/>
      <c r="R57" s="10"/>
      <c r="S57" s="10"/>
      <c r="T57" s="10"/>
      <c r="U57" s="10"/>
      <c r="V57" s="10"/>
      <c r="W57" s="10"/>
      <c r="X57" s="10"/>
      <c r="Y57" s="10"/>
      <c r="Z57" s="10"/>
      <c r="AA57" s="10"/>
      <c r="AB57" s="10"/>
      <c r="AC57" s="10"/>
      <c r="AD57" s="10"/>
      <c r="AE57" s="10"/>
      <c r="AH57" s="26"/>
      <c r="AI57" s="26"/>
      <c r="AJ57" s="38"/>
      <c r="AK57" s="22"/>
      <c r="AL57" s="22"/>
      <c r="AM57" s="22"/>
      <c r="AN57" s="22"/>
      <c r="AO57" s="22"/>
    </row>
    <row r="58" spans="1:41">
      <c r="A58" s="23"/>
      <c r="B58" s="33"/>
      <c r="C58" s="28"/>
      <c r="D58" s="28"/>
      <c r="F58" s="23"/>
      <c r="H58" s="23"/>
      <c r="K58" s="45"/>
      <c r="N58" s="10"/>
      <c r="O58" s="10"/>
      <c r="P58" s="10"/>
      <c r="Q58" s="10"/>
      <c r="R58" s="10"/>
      <c r="S58" s="10"/>
      <c r="T58" s="10"/>
      <c r="U58" s="10"/>
      <c r="V58" s="10"/>
      <c r="W58" s="10"/>
      <c r="X58" s="10"/>
      <c r="Y58" s="10"/>
      <c r="Z58" s="10"/>
      <c r="AA58" s="10"/>
      <c r="AB58" s="10"/>
      <c r="AC58" s="10"/>
      <c r="AD58" s="10"/>
      <c r="AE58" s="10"/>
      <c r="AH58" s="26"/>
      <c r="AI58" s="26"/>
      <c r="AJ58" s="38"/>
      <c r="AK58" s="22"/>
      <c r="AL58" s="22"/>
      <c r="AM58" s="22"/>
      <c r="AN58" s="22"/>
      <c r="AO58" s="22"/>
    </row>
    <row r="59" spans="1:41">
      <c r="A59" s="32"/>
      <c r="B59" s="33"/>
      <c r="C59" s="55"/>
      <c r="D59" s="32"/>
      <c r="E59" s="32"/>
      <c r="F59" s="32"/>
      <c r="G59" s="1"/>
      <c r="H59" s="32"/>
      <c r="K59" s="45"/>
      <c r="N59" s="10"/>
      <c r="O59" s="10"/>
      <c r="P59" s="10"/>
      <c r="Q59" s="10"/>
      <c r="R59" s="10"/>
      <c r="S59" s="10"/>
      <c r="T59" s="10"/>
      <c r="U59" s="10"/>
      <c r="V59" s="10"/>
      <c r="W59" s="10"/>
      <c r="X59" s="10"/>
      <c r="Y59" s="10"/>
      <c r="Z59" s="10"/>
      <c r="AA59" s="10"/>
      <c r="AB59" s="10"/>
      <c r="AC59" s="10"/>
      <c r="AD59" s="10"/>
      <c r="AE59" s="10"/>
      <c r="AH59" s="58"/>
      <c r="AI59" s="58"/>
      <c r="AJ59" s="17"/>
      <c r="AK59" s="17"/>
      <c r="AL59" s="17"/>
      <c r="AM59" s="17"/>
      <c r="AN59" s="17"/>
      <c r="AO59" s="17"/>
    </row>
    <row r="60" spans="1:41" ht="13.8" thickBot="1">
      <c r="B60" s="33"/>
      <c r="C60" s="21"/>
      <c r="D60" s="1"/>
      <c r="E60" s="1"/>
      <c r="K60" s="45"/>
      <c r="N60" s="10"/>
      <c r="O60" s="10"/>
      <c r="P60" s="10"/>
      <c r="Q60" s="10"/>
      <c r="R60" s="10"/>
      <c r="S60" s="10"/>
      <c r="T60" s="10"/>
      <c r="U60" s="10"/>
      <c r="V60" s="10"/>
      <c r="W60" s="10"/>
      <c r="X60" s="10"/>
      <c r="Y60" s="10"/>
      <c r="Z60" s="10"/>
      <c r="AA60" s="10"/>
      <c r="AB60" s="10"/>
      <c r="AC60" s="10"/>
      <c r="AD60" s="10"/>
      <c r="AE60" s="10"/>
      <c r="AH60" s="9"/>
      <c r="AI60" s="17"/>
      <c r="AJ60" s="17"/>
      <c r="AK60" s="17"/>
      <c r="AL60" s="17"/>
      <c r="AM60" s="17"/>
      <c r="AN60" s="17"/>
      <c r="AO60" s="17"/>
    </row>
    <row r="61" spans="1:41" ht="13.8" thickTop="1">
      <c r="A61" s="855" t="s">
        <v>516</v>
      </c>
      <c r="B61" s="668"/>
      <c r="C61" s="668"/>
      <c r="D61" s="668"/>
      <c r="E61" s="668"/>
      <c r="F61" s="668"/>
      <c r="G61" s="668"/>
      <c r="H61" s="668"/>
      <c r="I61" s="668"/>
      <c r="J61" s="668"/>
      <c r="K61" s="668"/>
      <c r="L61" s="668"/>
      <c r="N61" s="10"/>
      <c r="O61" s="10"/>
      <c r="P61" s="10"/>
      <c r="Q61" s="10"/>
      <c r="R61" s="10"/>
      <c r="S61" s="10"/>
      <c r="T61" s="10"/>
      <c r="U61" s="10"/>
      <c r="V61" s="10"/>
      <c r="W61" s="10"/>
      <c r="X61" s="10"/>
      <c r="Y61" s="10"/>
      <c r="Z61" s="10"/>
      <c r="AA61" s="10"/>
      <c r="AB61" s="10"/>
      <c r="AC61" s="10"/>
      <c r="AD61" s="10"/>
      <c r="AE61" s="10"/>
      <c r="AH61" s="66"/>
      <c r="AI61" s="58"/>
      <c r="AJ61" s="17"/>
      <c r="AK61" s="17"/>
      <c r="AL61" s="17"/>
      <c r="AM61" s="17"/>
      <c r="AN61" s="17"/>
      <c r="AO61" s="17"/>
    </row>
    <row r="62" spans="1:41" ht="13.8" thickBot="1">
      <c r="A62" s="669"/>
      <c r="B62" s="669"/>
      <c r="C62" s="669"/>
      <c r="D62" s="669"/>
      <c r="E62" s="669"/>
      <c r="F62" s="669"/>
      <c r="G62" s="669"/>
      <c r="H62" s="669"/>
      <c r="I62" s="669"/>
      <c r="J62" s="669"/>
      <c r="K62" s="669"/>
      <c r="L62" s="669"/>
      <c r="N62" s="10"/>
      <c r="O62" s="10"/>
      <c r="P62" s="10"/>
      <c r="Q62" s="10"/>
      <c r="R62" s="10"/>
      <c r="S62" s="10"/>
      <c r="T62" s="10"/>
      <c r="U62" s="10"/>
      <c r="V62" s="10"/>
      <c r="W62" s="10"/>
      <c r="X62" s="10"/>
      <c r="Y62" s="10"/>
      <c r="Z62" s="10"/>
      <c r="AA62" s="10"/>
      <c r="AB62" s="10"/>
      <c r="AC62" s="10"/>
      <c r="AD62" s="10"/>
      <c r="AE62" s="10"/>
      <c r="AH62" s="17"/>
      <c r="AI62" s="17"/>
      <c r="AJ62" s="17"/>
      <c r="AK62" s="17"/>
      <c r="AL62" s="17"/>
      <c r="AM62" s="17"/>
      <c r="AN62" s="17"/>
      <c r="AO62" s="17"/>
    </row>
    <row r="63" spans="1:41">
      <c r="A63" s="860" t="s">
        <v>15</v>
      </c>
      <c r="B63" s="845"/>
      <c r="C63" s="844" t="s">
        <v>16</v>
      </c>
      <c r="D63" s="845"/>
      <c r="E63" s="844" t="s">
        <v>17</v>
      </c>
      <c r="F63" s="845"/>
      <c r="G63" s="844" t="s">
        <v>18</v>
      </c>
      <c r="H63" s="845"/>
      <c r="I63" s="844" t="s">
        <v>19</v>
      </c>
      <c r="J63" s="845"/>
      <c r="K63" s="852" t="s">
        <v>20</v>
      </c>
      <c r="L63" s="853"/>
      <c r="M63" s="1"/>
      <c r="N63" s="1"/>
      <c r="O63" s="1"/>
      <c r="P63" s="1"/>
      <c r="Q63" s="1"/>
      <c r="R63" s="1"/>
      <c r="S63" s="1"/>
      <c r="T63" s="1"/>
      <c r="U63" s="1"/>
      <c r="V63" s="1"/>
      <c r="W63" s="5"/>
      <c r="X63" s="5"/>
      <c r="Y63" s="5"/>
      <c r="Z63" s="5"/>
      <c r="AA63" s="5"/>
      <c r="AB63" s="5"/>
      <c r="AC63" s="5"/>
      <c r="AD63" s="5"/>
      <c r="AE63" s="5"/>
      <c r="AH63" s="17"/>
      <c r="AI63" s="17"/>
      <c r="AJ63" s="17"/>
      <c r="AK63" s="17"/>
      <c r="AL63" s="17"/>
      <c r="AM63" s="17"/>
      <c r="AN63" s="17"/>
      <c r="AO63" s="17"/>
    </row>
    <row r="64" spans="1:41" ht="15.6">
      <c r="A64" s="859" t="s">
        <v>42</v>
      </c>
      <c r="B64" s="731"/>
      <c r="C64" s="846" t="s">
        <v>130</v>
      </c>
      <c r="D64" s="847"/>
      <c r="E64" s="846" t="s">
        <v>517</v>
      </c>
      <c r="F64" s="847"/>
      <c r="G64" s="846" t="s">
        <v>520</v>
      </c>
      <c r="H64" s="847"/>
      <c r="I64" s="846" t="s">
        <v>521</v>
      </c>
      <c r="J64" s="847"/>
      <c r="K64" s="846" t="s">
        <v>131</v>
      </c>
      <c r="L64" s="854"/>
      <c r="N64" s="10"/>
      <c r="O64" s="10"/>
      <c r="P64" s="10"/>
      <c r="Q64" s="10"/>
      <c r="R64" s="10"/>
      <c r="S64" s="10"/>
      <c r="T64" s="10"/>
      <c r="U64" s="10"/>
      <c r="V64" s="10"/>
      <c r="W64" s="10"/>
      <c r="X64" s="10"/>
      <c r="Y64" s="10"/>
      <c r="Z64" s="10"/>
      <c r="AA64" s="10"/>
      <c r="AB64" s="10"/>
      <c r="AC64" s="10"/>
      <c r="AD64" s="10"/>
      <c r="AE64" s="10"/>
      <c r="AH64" s="17"/>
      <c r="AI64" s="17"/>
      <c r="AJ64" s="17"/>
      <c r="AK64" s="17"/>
      <c r="AL64" s="17"/>
      <c r="AM64" s="17"/>
      <c r="AN64" s="17"/>
      <c r="AO64" s="17"/>
    </row>
    <row r="65" spans="1:49" ht="15.6">
      <c r="A65" s="837" t="s">
        <v>34</v>
      </c>
      <c r="B65" s="838"/>
      <c r="C65" s="848" t="s">
        <v>132</v>
      </c>
      <c r="D65" s="849"/>
      <c r="E65" s="848" t="s">
        <v>518</v>
      </c>
      <c r="F65" s="849"/>
      <c r="G65" s="848" t="s">
        <v>519</v>
      </c>
      <c r="H65" s="849"/>
      <c r="I65" s="848" t="s">
        <v>525</v>
      </c>
      <c r="J65" s="856"/>
      <c r="K65" s="857" t="s">
        <v>524</v>
      </c>
      <c r="L65" s="858"/>
      <c r="N65" s="47"/>
      <c r="O65" s="10"/>
      <c r="P65" s="10"/>
      <c r="Q65" s="10"/>
      <c r="R65" s="10"/>
      <c r="S65" s="10"/>
      <c r="T65" s="10"/>
      <c r="U65" s="10"/>
      <c r="V65" s="10"/>
      <c r="W65" s="47"/>
      <c r="X65" s="10"/>
      <c r="Y65" s="10"/>
      <c r="Z65" s="10"/>
      <c r="AA65" s="10"/>
      <c r="AB65" s="10"/>
      <c r="AC65" s="10"/>
      <c r="AD65" s="10"/>
      <c r="AE65" s="10"/>
      <c r="AH65" s="32"/>
      <c r="AI65" s="27"/>
      <c r="AJ65" s="27"/>
      <c r="AK65" s="27"/>
      <c r="AL65" s="27"/>
      <c r="AM65" s="27"/>
      <c r="AN65" s="50"/>
    </row>
    <row r="66" spans="1:49">
      <c r="A66" s="839"/>
      <c r="B66" s="840"/>
      <c r="C66" s="323">
        <f>+D39</f>
        <v>14.414444169930038</v>
      </c>
      <c r="D66" s="850"/>
      <c r="E66" s="873">
        <f>+G57</f>
        <v>0.50241684030939704</v>
      </c>
      <c r="F66" s="874"/>
      <c r="G66" s="897">
        <f>+H57</f>
        <v>0.55763256554040264</v>
      </c>
      <c r="H66" s="898"/>
      <c r="I66" s="748">
        <f>+J39</f>
        <v>25.482950513333336</v>
      </c>
      <c r="J66" s="862"/>
      <c r="K66" s="748">
        <f>+E66+G66+I66</f>
        <v>26.542999919183135</v>
      </c>
      <c r="L66" s="862"/>
      <c r="N66" s="47"/>
      <c r="O66" s="10"/>
      <c r="P66" s="10"/>
      <c r="Q66" s="10"/>
      <c r="R66" s="10"/>
      <c r="S66" s="10"/>
      <c r="T66" s="10"/>
      <c r="U66" s="10"/>
      <c r="V66" s="10"/>
      <c r="W66" s="47"/>
      <c r="X66" s="10"/>
      <c r="Y66" s="10"/>
      <c r="Z66" s="10"/>
      <c r="AA66" s="10"/>
      <c r="AB66" s="10"/>
      <c r="AC66" s="10"/>
      <c r="AD66" s="10"/>
      <c r="AE66" s="10"/>
      <c r="AH66" s="32"/>
      <c r="AI66" s="27"/>
      <c r="AJ66" s="27"/>
      <c r="AK66" s="27"/>
      <c r="AL66" s="27"/>
      <c r="AM66" s="27"/>
      <c r="AN66" s="50"/>
    </row>
    <row r="67" spans="1:49" ht="15.6">
      <c r="A67" s="837" t="s">
        <v>133</v>
      </c>
      <c r="B67" s="838"/>
      <c r="C67" s="848" t="s">
        <v>135</v>
      </c>
      <c r="D67" s="849"/>
      <c r="E67" s="848" t="s">
        <v>518</v>
      </c>
      <c r="F67" s="849"/>
      <c r="G67" s="848" t="s">
        <v>519</v>
      </c>
      <c r="H67" s="849"/>
      <c r="I67" s="848" t="s">
        <v>523</v>
      </c>
      <c r="J67" s="856"/>
      <c r="K67" s="857" t="s">
        <v>524</v>
      </c>
      <c r="L67" s="858"/>
      <c r="N67" s="47"/>
      <c r="O67" s="10"/>
      <c r="P67" s="10"/>
      <c r="Q67" s="10"/>
      <c r="R67" s="10"/>
      <c r="S67" s="10"/>
      <c r="T67" s="10"/>
      <c r="U67" s="10"/>
      <c r="V67" s="10"/>
      <c r="W67" s="47"/>
      <c r="X67" s="10"/>
      <c r="Y67" s="10"/>
      <c r="Z67" s="10"/>
      <c r="AA67" s="10"/>
      <c r="AB67" s="10"/>
      <c r="AC67" s="10"/>
      <c r="AD67" s="10"/>
      <c r="AE67" s="10"/>
      <c r="AH67" s="32"/>
      <c r="AI67" s="27"/>
      <c r="AJ67" s="27"/>
      <c r="AK67" s="27"/>
      <c r="AL67" s="27"/>
      <c r="AM67" s="27"/>
      <c r="AN67" s="50"/>
    </row>
    <row r="68" spans="1:49">
      <c r="A68" s="839"/>
      <c r="B68" s="840"/>
      <c r="C68" s="323">
        <f>+E39</f>
        <v>4.8201093832184174</v>
      </c>
      <c r="D68" s="850"/>
      <c r="E68" s="863">
        <f>+G57</f>
        <v>0.50241684030939704</v>
      </c>
      <c r="F68" s="864"/>
      <c r="G68" s="899">
        <f>+H57</f>
        <v>0.55763256554040264</v>
      </c>
      <c r="H68" s="900"/>
      <c r="I68" s="748">
        <f>+$I$66*C68/$C$66</f>
        <v>8.5213559006073538</v>
      </c>
      <c r="J68" s="862"/>
      <c r="K68" s="748">
        <f>+E68+G68+I68</f>
        <v>9.5814053064571532</v>
      </c>
      <c r="L68" s="862"/>
      <c r="N68" s="10"/>
      <c r="O68" s="10"/>
      <c r="P68" s="10"/>
      <c r="Q68" s="10"/>
      <c r="R68" s="10"/>
      <c r="S68" s="10"/>
      <c r="T68" s="10"/>
      <c r="U68" s="10"/>
      <c r="V68" s="10"/>
      <c r="W68" s="10"/>
      <c r="X68" s="10"/>
      <c r="Y68" s="10"/>
      <c r="Z68" s="10"/>
      <c r="AA68" s="10"/>
      <c r="AB68" s="10"/>
      <c r="AC68" s="10"/>
      <c r="AD68" s="10"/>
      <c r="AE68" s="10"/>
      <c r="AH68" s="27"/>
      <c r="AI68" s="27"/>
      <c r="AJ68" s="27"/>
      <c r="AK68" s="27"/>
      <c r="AL68" s="27"/>
      <c r="AM68" s="27"/>
      <c r="AN68" s="50"/>
      <c r="AO68" s="35"/>
      <c r="AP68" s="35"/>
      <c r="AQ68" s="35"/>
      <c r="AR68" s="35"/>
      <c r="AS68" s="35"/>
      <c r="AT68" s="35"/>
      <c r="AU68" s="35"/>
      <c r="AV68" s="35"/>
      <c r="AW68" s="35"/>
    </row>
    <row r="69" spans="1:49" ht="15.6">
      <c r="A69" s="837" t="s">
        <v>134</v>
      </c>
      <c r="B69" s="841"/>
      <c r="C69" s="848" t="s">
        <v>136</v>
      </c>
      <c r="D69" s="849"/>
      <c r="E69" s="867" t="s">
        <v>13</v>
      </c>
      <c r="F69" s="849"/>
      <c r="G69" s="867" t="s">
        <v>13</v>
      </c>
      <c r="H69" s="849"/>
      <c r="I69" s="848" t="s">
        <v>522</v>
      </c>
      <c r="J69" s="856"/>
      <c r="K69" s="857" t="s">
        <v>524</v>
      </c>
      <c r="L69" s="858"/>
      <c r="N69" s="10"/>
      <c r="O69" s="10"/>
      <c r="P69" s="10"/>
      <c r="Q69" s="10"/>
      <c r="R69" s="10"/>
      <c r="S69" s="10"/>
      <c r="T69" s="10"/>
      <c r="U69" s="10"/>
      <c r="V69" s="10"/>
      <c r="W69" s="10"/>
      <c r="X69" s="10"/>
      <c r="Y69" s="10"/>
      <c r="Z69" s="10"/>
      <c r="AA69" s="10"/>
      <c r="AB69" s="10"/>
      <c r="AC69" s="10"/>
      <c r="AD69" s="10"/>
      <c r="AE69" s="10"/>
      <c r="AH69" s="25"/>
      <c r="AK69" s="5"/>
      <c r="AO69" s="1"/>
      <c r="AT69" s="1"/>
      <c r="AU69" s="1"/>
      <c r="AV69" s="1"/>
      <c r="AW69" s="1"/>
    </row>
    <row r="70" spans="1:49" ht="13.8" thickBot="1">
      <c r="A70" s="842"/>
      <c r="B70" s="843"/>
      <c r="C70" s="325">
        <f>+F39</f>
        <v>9.594334786711622</v>
      </c>
      <c r="D70" s="851"/>
      <c r="E70" s="865">
        <v>0</v>
      </c>
      <c r="F70" s="866"/>
      <c r="G70" s="865">
        <v>0</v>
      </c>
      <c r="H70" s="866"/>
      <c r="I70" s="747">
        <f>+$I$66*C70/$C$66</f>
        <v>16.961594612725985</v>
      </c>
      <c r="J70" s="896"/>
      <c r="K70" s="747">
        <f>+E70+G70+I70</f>
        <v>16.961594612725985</v>
      </c>
      <c r="L70" s="861"/>
      <c r="N70" s="10"/>
      <c r="O70" s="10"/>
      <c r="P70" s="10"/>
      <c r="Q70" s="10"/>
      <c r="R70" s="10"/>
      <c r="S70" s="10"/>
      <c r="T70" s="10"/>
      <c r="U70" s="10"/>
      <c r="V70" s="10"/>
      <c r="W70" s="10"/>
      <c r="X70" s="10"/>
      <c r="Y70" s="10"/>
      <c r="Z70" s="10"/>
      <c r="AA70" s="10"/>
      <c r="AB70" s="10"/>
      <c r="AC70" s="10"/>
      <c r="AD70" s="10"/>
      <c r="AE70" s="10"/>
      <c r="AH70" s="34"/>
      <c r="AI70" s="33"/>
      <c r="AJ70" s="1"/>
      <c r="AK70" s="8"/>
      <c r="AL70" s="5"/>
      <c r="AM70" s="35"/>
      <c r="AO70" s="5"/>
      <c r="AT70" s="5"/>
      <c r="AU70" s="5"/>
      <c r="AV70" s="5"/>
    </row>
    <row r="71" spans="1:49">
      <c r="A71" s="23"/>
      <c r="C71" s="23"/>
      <c r="D71" s="23"/>
      <c r="E71" s="23"/>
      <c r="F71" s="28"/>
      <c r="G71" s="23"/>
      <c r="H71" s="23"/>
      <c r="I71" s="28"/>
      <c r="K71" s="45"/>
      <c r="N71" s="10"/>
      <c r="O71" s="10"/>
      <c r="P71" s="10"/>
      <c r="Q71" s="10"/>
      <c r="R71" s="10"/>
      <c r="S71" s="10"/>
      <c r="T71" s="10"/>
      <c r="U71" s="10"/>
      <c r="V71" s="10"/>
      <c r="W71" s="10"/>
      <c r="X71" s="10"/>
      <c r="Y71" s="10"/>
      <c r="Z71" s="10"/>
      <c r="AA71" s="10"/>
      <c r="AB71" s="10"/>
      <c r="AC71" s="10"/>
      <c r="AD71" s="10"/>
      <c r="AE71" s="10"/>
      <c r="AH71" s="21"/>
      <c r="AI71" s="1"/>
      <c r="AK71" s="36"/>
      <c r="AL71" s="1"/>
      <c r="AM71" s="36"/>
      <c r="AN71" s="36"/>
      <c r="AT71" s="5"/>
      <c r="AU71" s="5"/>
      <c r="AV71" s="5"/>
    </row>
    <row r="72" spans="1:49">
      <c r="A72" s="32"/>
      <c r="B72" s="32"/>
      <c r="C72" s="32"/>
      <c r="D72" s="32"/>
      <c r="F72" s="32"/>
      <c r="G72" s="32"/>
      <c r="H72" s="32"/>
      <c r="I72" s="32"/>
      <c r="K72" s="45"/>
      <c r="N72" s="10"/>
      <c r="O72" s="10"/>
      <c r="P72" s="10"/>
      <c r="Q72" s="10"/>
      <c r="R72" s="10"/>
      <c r="S72" s="10"/>
      <c r="T72" s="10"/>
      <c r="U72" s="10"/>
      <c r="V72" s="10"/>
      <c r="W72" s="10"/>
      <c r="X72" s="10"/>
      <c r="Y72" s="10"/>
      <c r="Z72" s="10"/>
      <c r="AA72" s="10"/>
      <c r="AB72" s="10"/>
      <c r="AC72" s="10"/>
      <c r="AD72" s="10"/>
      <c r="AE72" s="10"/>
      <c r="AH72" s="21"/>
      <c r="AI72" s="1"/>
      <c r="AK72" s="36"/>
      <c r="AL72" s="1"/>
      <c r="AM72" s="36"/>
      <c r="AN72" s="36"/>
      <c r="AT72" s="5"/>
      <c r="AU72" s="5"/>
      <c r="AV72" s="8"/>
    </row>
    <row r="73" spans="1:49">
      <c r="A73" s="32"/>
      <c r="AH73" s="21"/>
      <c r="AI73" s="1"/>
      <c r="AK73" s="24"/>
      <c r="AL73" s="1"/>
      <c r="AM73" s="36"/>
      <c r="AN73" s="36"/>
      <c r="AT73" s="1"/>
      <c r="AU73" s="9"/>
      <c r="AV73" s="6"/>
    </row>
    <row r="74" spans="1:49">
      <c r="A74" s="1"/>
    </row>
    <row r="75" spans="1:49">
      <c r="A75" s="1"/>
      <c r="D75" s="56"/>
      <c r="E75" s="40"/>
      <c r="F75" s="39"/>
      <c r="G75" s="56"/>
      <c r="H75" s="40"/>
      <c r="I75" s="39"/>
    </row>
    <row r="76" spans="1:49">
      <c r="A76" s="1"/>
      <c r="D76" s="1"/>
      <c r="E76" s="1"/>
      <c r="F76" s="1"/>
      <c r="G76" s="1"/>
      <c r="H76" s="1"/>
      <c r="I76" s="1"/>
    </row>
    <row r="77" spans="1:49">
      <c r="D77" s="24"/>
      <c r="E77" s="24"/>
      <c r="F77" s="24"/>
      <c r="G77" s="24"/>
      <c r="H77" s="24"/>
      <c r="I77" s="24"/>
    </row>
    <row r="78" spans="1:49">
      <c r="A78" s="22"/>
      <c r="D78" s="38"/>
      <c r="E78" s="22"/>
      <c r="F78" s="22"/>
      <c r="G78" s="28"/>
      <c r="I78" s="22"/>
    </row>
    <row r="79" spans="1:49">
      <c r="A79" s="42"/>
      <c r="C79" s="24"/>
      <c r="D79" s="24"/>
      <c r="E79" s="24"/>
      <c r="F79" s="24"/>
      <c r="G79" s="24"/>
      <c r="H79" s="24"/>
      <c r="I79" s="24"/>
    </row>
    <row r="80" spans="1:49">
      <c r="A80" s="42"/>
      <c r="C80" s="24"/>
      <c r="D80" s="24"/>
      <c r="E80" s="24"/>
      <c r="F80" s="24"/>
      <c r="G80" s="24"/>
      <c r="H80" s="24"/>
      <c r="I80" s="24"/>
    </row>
    <row r="81" spans="1:9">
      <c r="A81" s="34"/>
      <c r="C81" s="24"/>
      <c r="D81" s="24"/>
      <c r="E81" s="24"/>
      <c r="F81" s="24"/>
      <c r="G81" s="24"/>
      <c r="H81" s="24"/>
      <c r="I81" s="24"/>
    </row>
    <row r="82" spans="1:9">
      <c r="A82" s="42"/>
      <c r="C82" s="24"/>
      <c r="D82" s="24"/>
      <c r="E82" s="24"/>
      <c r="F82" s="24"/>
      <c r="G82" s="24"/>
      <c r="H82" s="24"/>
      <c r="I82" s="24"/>
    </row>
    <row r="83" spans="1:9">
      <c r="A83" s="42"/>
      <c r="C83" s="24"/>
      <c r="D83" s="24"/>
      <c r="E83" s="24"/>
      <c r="F83" s="24"/>
      <c r="G83" s="24"/>
      <c r="H83" s="24"/>
      <c r="I83" s="24"/>
    </row>
    <row r="84" spans="1:9">
      <c r="A84" s="42"/>
      <c r="C84" s="24"/>
      <c r="D84" s="24"/>
      <c r="E84" s="24"/>
      <c r="F84" s="24"/>
      <c r="G84" s="24"/>
      <c r="H84" s="24"/>
      <c r="I84" s="24"/>
    </row>
    <row r="85" spans="1:9">
      <c r="A85" s="54"/>
      <c r="B85" s="33"/>
      <c r="C85" s="33"/>
      <c r="D85" s="33"/>
      <c r="E85" s="33"/>
      <c r="F85" s="33"/>
      <c r="G85" s="33"/>
      <c r="H85" s="33"/>
      <c r="I85" s="33"/>
    </row>
    <row r="86" spans="1:9">
      <c r="C86" s="24"/>
      <c r="D86" s="24"/>
      <c r="E86" s="24"/>
      <c r="F86" s="24"/>
      <c r="G86" s="1"/>
      <c r="H86" s="24"/>
      <c r="I86" s="24"/>
    </row>
    <row r="87" spans="1:9">
      <c r="A87" s="5"/>
      <c r="B87" s="1"/>
      <c r="C87" s="1"/>
      <c r="D87" s="1"/>
      <c r="E87" s="1"/>
      <c r="F87" s="1"/>
      <c r="G87" s="1"/>
    </row>
    <row r="89" spans="1:9">
      <c r="A89" s="25"/>
      <c r="B89" s="25"/>
      <c r="C89" s="25"/>
      <c r="D89" s="25"/>
      <c r="E89" s="25"/>
      <c r="F89" s="25"/>
      <c r="G89" s="25"/>
      <c r="H89" s="25"/>
      <c r="I89" s="25"/>
    </row>
    <row r="90" spans="1:9">
      <c r="A90" s="23"/>
      <c r="B90" s="23"/>
      <c r="C90" s="23"/>
      <c r="E90" s="28"/>
      <c r="F90" s="1"/>
      <c r="G90" s="1"/>
      <c r="H90" s="1"/>
      <c r="I90" s="28"/>
    </row>
    <row r="91" spans="1:9">
      <c r="A91" s="32"/>
      <c r="B91" s="32"/>
      <c r="C91" s="32"/>
      <c r="D91" s="32"/>
      <c r="E91" s="5"/>
      <c r="F91" s="5"/>
      <c r="G91" s="5"/>
      <c r="H91" s="5"/>
      <c r="I91" s="5"/>
    </row>
    <row r="92" spans="1:9">
      <c r="A92" s="50"/>
      <c r="B92" s="50"/>
      <c r="C92" s="50"/>
      <c r="D92" s="50"/>
      <c r="E92" s="28"/>
      <c r="I92" s="28"/>
    </row>
    <row r="93" spans="1:9">
      <c r="A93" s="33"/>
      <c r="B93" s="33"/>
      <c r="C93" s="33"/>
      <c r="E93" s="24"/>
      <c r="F93" s="1"/>
      <c r="G93" s="1"/>
      <c r="H93" s="1"/>
      <c r="I93" s="10"/>
    </row>
    <row r="94" spans="1:9">
      <c r="A94" s="33"/>
      <c r="B94" s="33"/>
      <c r="C94" s="33"/>
      <c r="E94" s="24"/>
      <c r="F94" s="1"/>
      <c r="G94" s="1"/>
      <c r="H94" s="1"/>
      <c r="I94" s="10"/>
    </row>
    <row r="95" spans="1:9">
      <c r="A95" s="34"/>
      <c r="B95" s="33"/>
      <c r="C95" s="33"/>
      <c r="E95" s="24"/>
      <c r="F95" s="1"/>
      <c r="G95" s="1"/>
      <c r="H95" s="1"/>
      <c r="I95" s="10"/>
    </row>
    <row r="96" spans="1:9">
      <c r="A96" s="33"/>
      <c r="B96" s="33"/>
      <c r="C96" s="33"/>
      <c r="E96" s="24"/>
      <c r="F96" s="1"/>
      <c r="G96" s="1"/>
      <c r="H96" s="1"/>
      <c r="I96" s="10"/>
    </row>
    <row r="97" spans="1:9">
      <c r="A97" s="54"/>
      <c r="B97" s="33"/>
      <c r="C97" s="33"/>
      <c r="D97" s="33"/>
      <c r="E97" s="33"/>
      <c r="F97" s="33"/>
      <c r="G97" s="33"/>
      <c r="H97" s="33"/>
      <c r="I97" s="33"/>
    </row>
    <row r="102" spans="1:9">
      <c r="A102" s="23"/>
      <c r="B102" s="23"/>
      <c r="C102" s="23"/>
      <c r="D102" s="23"/>
      <c r="E102" s="23"/>
      <c r="F102" s="23"/>
      <c r="G102" s="23"/>
      <c r="H102" s="23"/>
      <c r="I102" s="23"/>
    </row>
    <row r="103" spans="1:9">
      <c r="A103" s="31"/>
      <c r="B103" s="31"/>
      <c r="C103" s="31"/>
      <c r="D103" s="32"/>
      <c r="E103" s="32"/>
      <c r="F103" s="32"/>
      <c r="G103" s="32"/>
      <c r="I103" s="32"/>
    </row>
    <row r="104" spans="1:9">
      <c r="A104" s="31"/>
      <c r="B104" s="31"/>
      <c r="C104" s="31"/>
      <c r="D104" s="23"/>
      <c r="G104" s="23"/>
      <c r="H104" s="23"/>
      <c r="I104" s="23"/>
    </row>
    <row r="105" spans="1:9">
      <c r="A105" s="33"/>
      <c r="B105" s="33"/>
      <c r="C105" s="33"/>
      <c r="D105" s="24"/>
      <c r="E105" s="1"/>
      <c r="F105" s="1"/>
      <c r="G105" s="24"/>
      <c r="H105" s="1"/>
      <c r="I105" s="1"/>
    </row>
    <row r="106" spans="1:9">
      <c r="A106" s="33"/>
      <c r="B106" s="33"/>
      <c r="C106" s="33"/>
      <c r="D106" s="24"/>
      <c r="E106" s="1"/>
      <c r="F106" s="1"/>
      <c r="G106" s="24"/>
      <c r="H106" s="1"/>
      <c r="I106" s="1"/>
    </row>
    <row r="107" spans="1:9">
      <c r="A107" s="33"/>
      <c r="B107" s="33"/>
      <c r="C107" s="33"/>
      <c r="D107" s="24"/>
      <c r="E107" s="1"/>
      <c r="F107" s="1"/>
      <c r="G107" s="24"/>
      <c r="H107" s="1"/>
      <c r="I107" s="1"/>
    </row>
  </sheetData>
  <sheetProtection sheet="1" objects="1" scenarios="1"/>
  <mergeCells count="83">
    <mergeCell ref="G70:H70"/>
    <mergeCell ref="G67:H67"/>
    <mergeCell ref="G69:H69"/>
    <mergeCell ref="G65:H65"/>
    <mergeCell ref="I70:J70"/>
    <mergeCell ref="I69:J69"/>
    <mergeCell ref="I67:J67"/>
    <mergeCell ref="I66:J66"/>
    <mergeCell ref="I68:J68"/>
    <mergeCell ref="G66:H66"/>
    <mergeCell ref="G68:H68"/>
    <mergeCell ref="B3:J4"/>
    <mergeCell ref="B5:C5"/>
    <mergeCell ref="E48:F48"/>
    <mergeCell ref="E49:F49"/>
    <mergeCell ref="E50:F50"/>
    <mergeCell ref="B12:J12"/>
    <mergeCell ref="I9:I11"/>
    <mergeCell ref="I6:I8"/>
    <mergeCell ref="H6:H11"/>
    <mergeCell ref="E47:H47"/>
    <mergeCell ref="B39:C39"/>
    <mergeCell ref="B6:C6"/>
    <mergeCell ref="G6:G8"/>
    <mergeCell ref="G9:G11"/>
    <mergeCell ref="B7:C11"/>
    <mergeCell ref="J6:J9"/>
    <mergeCell ref="E52:H52"/>
    <mergeCell ref="E9:E11"/>
    <mergeCell ref="F9:F11"/>
    <mergeCell ref="D6:F8"/>
    <mergeCell ref="D9:D11"/>
    <mergeCell ref="B13:J13"/>
    <mergeCell ref="B23:J23"/>
    <mergeCell ref="B18:J18"/>
    <mergeCell ref="B28:J28"/>
    <mergeCell ref="B29:J29"/>
    <mergeCell ref="B34:J34"/>
    <mergeCell ref="E43:H44"/>
    <mergeCell ref="E45:F45"/>
    <mergeCell ref="E46:F46"/>
    <mergeCell ref="J10:J11"/>
    <mergeCell ref="E51:F51"/>
    <mergeCell ref="E68:F68"/>
    <mergeCell ref="E70:F70"/>
    <mergeCell ref="E67:F67"/>
    <mergeCell ref="E69:F69"/>
    <mergeCell ref="E53:F53"/>
    <mergeCell ref="E54:F54"/>
    <mergeCell ref="E55:F55"/>
    <mergeCell ref="E56:F56"/>
    <mergeCell ref="E57:F57"/>
    <mergeCell ref="E66:F66"/>
    <mergeCell ref="K70:L70"/>
    <mergeCell ref="K68:L68"/>
    <mergeCell ref="K66:L66"/>
    <mergeCell ref="K67:L67"/>
    <mergeCell ref="K69:L69"/>
    <mergeCell ref="K63:L63"/>
    <mergeCell ref="I64:J64"/>
    <mergeCell ref="K64:L64"/>
    <mergeCell ref="A61:L62"/>
    <mergeCell ref="I65:J65"/>
    <mergeCell ref="K65:L65"/>
    <mergeCell ref="A65:B66"/>
    <mergeCell ref="A64:B64"/>
    <mergeCell ref="A63:B63"/>
    <mergeCell ref="E64:F64"/>
    <mergeCell ref="E63:F63"/>
    <mergeCell ref="E65:F65"/>
    <mergeCell ref="G64:H64"/>
    <mergeCell ref="G63:H63"/>
    <mergeCell ref="I63:J63"/>
    <mergeCell ref="A67:B68"/>
    <mergeCell ref="A69:B70"/>
    <mergeCell ref="C63:D63"/>
    <mergeCell ref="C64:D64"/>
    <mergeCell ref="C65:D65"/>
    <mergeCell ref="C67:D67"/>
    <mergeCell ref="C69:D69"/>
    <mergeCell ref="C66:D66"/>
    <mergeCell ref="C68:D68"/>
    <mergeCell ref="C70:D70"/>
  </mergeCells>
  <conditionalFormatting sqref="C19 C24">
    <cfRule type="expression" dxfId="32" priority="5">
      <formula>LEN(C$14)=0</formula>
    </cfRule>
    <cfRule type="expression" dxfId="31" priority="6">
      <formula>LEN(C$14)&gt;0</formula>
    </cfRule>
  </conditionalFormatting>
  <conditionalFormatting sqref="C20 C25">
    <cfRule type="expression" dxfId="30" priority="3">
      <formula>LEN(C$15)=0</formula>
    </cfRule>
    <cfRule type="expression" dxfId="29" priority="4">
      <formula>LEN(C$15)&gt;0</formula>
    </cfRule>
  </conditionalFormatting>
  <conditionalFormatting sqref="C21 C26">
    <cfRule type="expression" dxfId="28" priority="33">
      <formula>LEN($C$16)&gt;0</formula>
    </cfRule>
    <cfRule type="expression" dxfId="27" priority="34">
      <formula>LEN($C$16)=0</formula>
    </cfRule>
  </conditionalFormatting>
  <conditionalFormatting sqref="C22 C27">
    <cfRule type="expression" dxfId="26" priority="31">
      <formula>LEN($C$17)&gt;0</formula>
    </cfRule>
    <cfRule type="expression" dxfId="25" priority="32">
      <formula>LEN($C$17)=0</formula>
    </cfRule>
  </conditionalFormatting>
  <conditionalFormatting sqref="C35:C36">
    <cfRule type="expression" dxfId="24" priority="1">
      <formula>LEN(C30)=0</formula>
    </cfRule>
    <cfRule type="expression" dxfId="23" priority="2">
      <formula>LEN(C30)&gt;0</formula>
    </cfRule>
  </conditionalFormatting>
  <conditionalFormatting sqref="C37:C38">
    <cfRule type="expression" dxfId="22" priority="29">
      <formula>LEN($C32)=0</formula>
    </cfRule>
    <cfRule type="expression" dxfId="21" priority="30">
      <formula>LEN($C32)&gt;0</formula>
    </cfRule>
  </conditionalFormatting>
  <conditionalFormatting sqref="D16:D17 D21:D22 D26:D27">
    <cfRule type="expression" dxfId="20" priority="27">
      <formula>LEN($C16)=0</formula>
    </cfRule>
    <cfRule type="expression" dxfId="19" priority="28">
      <formula>LEN($C16)&gt;0</formula>
    </cfRule>
  </conditionalFormatting>
  <conditionalFormatting sqref="D32:D33 D37:D38">
    <cfRule type="expression" dxfId="18" priority="25">
      <formula>LEN($C32)=0</formula>
    </cfRule>
    <cfRule type="expression" dxfId="17" priority="26">
      <formula>LEN($C32)&gt;0</formula>
    </cfRule>
  </conditionalFormatting>
  <conditionalFormatting sqref="D14:F15 D19:F20 D24:F25 D30:F31 D35:F36">
    <cfRule type="expression" dxfId="16" priority="12">
      <formula>LEN($C14)&gt;0</formula>
    </cfRule>
  </conditionalFormatting>
  <conditionalFormatting sqref="D39:F39">
    <cfRule type="expression" dxfId="15" priority="13">
      <formula>COUNTBLANK($G$14:$G$17)+COUNTBLANK($G$19:$G$22)+COUNTBLANK($G$24:$G$27)+COUNTBLANK($G$30:$G$33)+COUNTBLANK($G$35:$G$38)&lt;20</formula>
    </cfRule>
    <cfRule type="expression" dxfId="14" priority="14">
      <formula>COUNTBLANK($G$14:$G$17)+COUNTBLANK($G$19:$G$22)+COUNTBLANK($G$24:$G$27)+COUNTBLANK($G$30:$G$33)+COUNTBLANK($G$35:$G$38)=20</formula>
    </cfRule>
  </conditionalFormatting>
  <conditionalFormatting sqref="D14:G15 D19:G20 D24:G25 D30:G31 D35:G36">
    <cfRule type="expression" dxfId="13" priority="9">
      <formula>LEN($C14)=0</formula>
    </cfRule>
  </conditionalFormatting>
  <conditionalFormatting sqref="E16:G17 E21:G22 E26:G27 E32:G33 E37:G38">
    <cfRule type="expression" dxfId="12" priority="35">
      <formula>LEN($C16)&gt;0</formula>
    </cfRule>
    <cfRule type="expression" dxfId="11" priority="36">
      <formula>LEN($C16)=0</formula>
    </cfRule>
  </conditionalFormatting>
  <conditionalFormatting sqref="G14:G15 G19:G20 G24:G25 G30:G31 G35:G36">
    <cfRule type="expression" dxfId="10" priority="10">
      <formula>LEN($C14)&gt;0</formula>
    </cfRule>
  </conditionalFormatting>
  <conditionalFormatting sqref="H16:H17 H21:H22 H26:H27 H32:H33 H37:H38">
    <cfRule type="expression" dxfId="9" priority="21">
      <formula>AND(LEN($C16)&gt;0,COUNTBLANK(G$14:G$17)+COUNTBLANK(G$19:G$22)+COUNTBLANK(G$24:G$27)+COUNTBLANK(G$30:G$33)+COUNTBLANK(G$35:G$38)&lt;20)</formula>
    </cfRule>
    <cfRule type="expression" dxfId="8" priority="22">
      <formula>OR(LEN($C16)=0,COUNTBLANK(G$14:G$17)+COUNTBLANK(G$19:G$22)+COUNTBLANK(G$24:G$27)+COUNTBLANK(G$30:G$33)+COUNTBLANK(G$35:G$38)=20)</formula>
    </cfRule>
  </conditionalFormatting>
  <conditionalFormatting sqref="H14:I15 H19:I20 H24:I25 H30:I31 H35:I36">
    <cfRule type="expression" dxfId="7" priority="7">
      <formula>OR(LEN($C14)=0,COUNTBLANK($G$14:$G$17)+COUNTBLANK($G$19:$G$22)+COUNTBLANK($G$24:$G$27)+COUNTBLANK($G$30:$G$33)+COUNTBLANK($G$35:$G$38)=20)</formula>
    </cfRule>
    <cfRule type="expression" dxfId="6" priority="8">
      <formula>AND(LEN($C14)&gt;0,COUNTBLANK($G$14:$G$17)+COUNTBLANK($G$19:$G$22)+COUNTBLANK($G$24:$G$27)+COUNTBLANK($G$30:$G$33)+COUNTBLANK($G$35:$G$38)&lt;20)</formula>
    </cfRule>
  </conditionalFormatting>
  <conditionalFormatting sqref="H39:I39">
    <cfRule type="expression" dxfId="5" priority="15">
      <formula>COUNTBLANK($G$14:$G$17)+COUNTBLANK($G$19:$G$22)+COUNTBLANK($G$24:$G$27)+COUNTBLANK($G$30:$G$33)+COUNTBLANK($G$35:$G$38)&lt;20</formula>
    </cfRule>
    <cfRule type="expression" dxfId="4" priority="16">
      <formula>COUNTBLANK($G$14:$G$17)+COUNTBLANK($G$19:$G$22)+COUNTBLANK($G$24:$G$27)+COUNTBLANK($G$30:$G$33)+COUNTBLANK($G$35:$G$38)=20</formula>
    </cfRule>
  </conditionalFormatting>
  <conditionalFormatting sqref="I16:I17 I21:I22 I26:I27 I32:I33 I37:I38">
    <cfRule type="expression" dxfId="3" priority="17">
      <formula>AND(LEN($C16)&gt;0,COUNTBLANK($G$14:$G$17)+COUNTBLANK($G$19:$G$22)+COUNTBLANK($G$24:$G$27)+COUNTBLANK($G$30:$G$33)+COUNTBLANK($G$35:$G$38)&lt;20)</formula>
    </cfRule>
    <cfRule type="expression" dxfId="2" priority="18">
      <formula>OR(LEN($C16)=0,COUNTBLANK($G$14:$G$17)+COUNTBLANK($G$19:$G$22)+COUNTBLANK($G$24:$G$27)+COUNTBLANK($G$30:$G$33)+COUNTBLANK($G$35:$G$38)=20)</formula>
    </cfRule>
  </conditionalFormatting>
  <conditionalFormatting sqref="J14:J17 J19:J22 J24:J27 J30:J33 J35:J39">
    <cfRule type="expression" dxfId="1" priority="39">
      <formula>COUNTBLANK($G$14:$G$17)+COUNTBLANK($G$19:$G$22)+COUNTBLANK($G$24:$G$27)+COUNTBLANK($G$30:$G$33)+COUNTBLANK($G$35:$G$38)=20</formula>
    </cfRule>
    <cfRule type="expression" dxfId="0" priority="40">
      <formula>COUNTBLANK($G$14:$G$17)+COUNTBLANK($G$19:$G$22)+COUNTBLANK($G$24:$G$27)+COUNTBLANK($G$30:$G$33)+COUNTBLANK($G$35:$G$38)&lt;20</formula>
    </cfRule>
  </conditionalFormatting>
  <dataValidations count="2">
    <dataValidation type="list" allowBlank="1" showInputMessage="1" showErrorMessage="1" sqref="AJ70 N31 N7" xr:uid="{00000000-0002-0000-0700-000000000000}">
      <formula1>Local</formula1>
    </dataValidation>
    <dataValidation type="whole" allowBlank="1" showInputMessage="1" showErrorMessage="1" sqref="I19:I22 I35:I38 I30:I33 I14:I17 I24:I27" xr:uid="{00000000-0002-0000-0700-000001000000}">
      <formula1>0</formula1>
      <formula2>78300</formula2>
    </dataValidation>
  </dataValidations>
  <pageMargins left="0.7" right="0.7" top="0.75" bottom="0.75" header="0.3" footer="0.3"/>
  <pageSetup scale="74" fitToHeight="2" orientation="landscape" r:id="rId1"/>
  <headerFooter>
    <oddHeader>&amp;CUrban and Suburban Predictive Method</oddHeader>
    <oddFooter>&amp;R&amp;P</oddFooter>
  </headerFooter>
  <rowBreaks count="1" manualBreakCount="1">
    <brk id="40" max="1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103"/>
  <sheetViews>
    <sheetView zoomScaleNormal="100" workbookViewId="0">
      <selection activeCell="C12" sqref="C12"/>
    </sheetView>
  </sheetViews>
  <sheetFormatPr defaultColWidth="9.109375" defaultRowHeight="13.2"/>
  <cols>
    <col min="1" max="1" width="6.6640625" customWidth="1"/>
    <col min="2" max="2" width="13.6640625" customWidth="1"/>
    <col min="3" max="3" width="27.33203125" customWidth="1"/>
    <col min="4" max="7" width="13.6640625" customWidth="1"/>
    <col min="8" max="8" width="15.33203125" customWidth="1"/>
    <col min="9" max="10" width="13.6640625" customWidth="1"/>
    <col min="11" max="14" width="10.6640625" customWidth="1"/>
    <col min="15" max="15" width="12.6640625" customWidth="1"/>
    <col min="16" max="22" width="13.6640625" customWidth="1"/>
    <col min="23" max="32" width="12.6640625" customWidth="1"/>
    <col min="39" max="39" width="11" customWidth="1"/>
    <col min="40" max="40" width="12.44140625" customWidth="1"/>
    <col min="41" max="41" width="10.44140625" customWidth="1"/>
    <col min="42" max="42" width="10.6640625" customWidth="1"/>
    <col min="43" max="43" width="12.44140625" customWidth="1"/>
    <col min="44" max="44" width="10.44140625" customWidth="1"/>
    <col min="45" max="45" width="11.6640625" customWidth="1"/>
    <col min="46" max="46" width="10.44140625" customWidth="1"/>
    <col min="49" max="49" width="10.109375" customWidth="1"/>
  </cols>
  <sheetData>
    <row r="1" spans="1:58">
      <c r="Q1" s="6"/>
      <c r="T1" s="1"/>
      <c r="Z1" s="7"/>
    </row>
    <row r="2" spans="1:58" ht="13.8" thickBot="1">
      <c r="Q2" s="6"/>
      <c r="T2" s="1"/>
      <c r="Z2" s="7"/>
    </row>
    <row r="3" spans="1:58" ht="13.8" thickTop="1">
      <c r="A3" s="25"/>
      <c r="B3" s="855" t="s">
        <v>526</v>
      </c>
      <c r="C3" s="855"/>
      <c r="D3" s="855"/>
      <c r="E3" s="855"/>
      <c r="F3" s="855"/>
      <c r="G3" s="855"/>
      <c r="H3" s="855"/>
      <c r="I3" s="855"/>
      <c r="J3" s="855"/>
      <c r="K3" s="855"/>
      <c r="L3" s="855"/>
      <c r="M3" s="855"/>
      <c r="N3" s="855"/>
      <c r="O3" s="855"/>
      <c r="P3" s="44"/>
      <c r="Q3" s="32"/>
      <c r="R3" s="32"/>
      <c r="S3" s="32"/>
      <c r="T3" s="32"/>
      <c r="U3" s="32"/>
      <c r="V3" s="32"/>
      <c r="W3" s="32"/>
      <c r="X3" s="32"/>
      <c r="Y3" s="32"/>
      <c r="Z3" s="50"/>
      <c r="AA3" s="50"/>
      <c r="AB3" s="5"/>
      <c r="AC3" s="5"/>
      <c r="AD3" s="5"/>
      <c r="AM3" s="5"/>
      <c r="AW3" s="5"/>
      <c r="AX3" s="5"/>
      <c r="AY3" s="5"/>
      <c r="AZ3" s="5"/>
      <c r="BA3" s="5"/>
      <c r="BB3" s="5"/>
      <c r="BC3" s="5"/>
      <c r="BD3" s="5"/>
      <c r="BE3" s="5"/>
      <c r="BF3" s="5"/>
    </row>
    <row r="4" spans="1:58" ht="13.8" thickBot="1">
      <c r="A4" s="5"/>
      <c r="B4" s="881"/>
      <c r="C4" s="881"/>
      <c r="D4" s="881"/>
      <c r="E4" s="881"/>
      <c r="F4" s="881"/>
      <c r="G4" s="881"/>
      <c r="H4" s="881"/>
      <c r="I4" s="881"/>
      <c r="J4" s="881"/>
      <c r="K4" s="881"/>
      <c r="L4" s="881"/>
      <c r="M4" s="881"/>
      <c r="N4" s="881"/>
      <c r="O4" s="881"/>
      <c r="P4" s="1"/>
      <c r="Q4" s="32"/>
      <c r="R4" s="32"/>
      <c r="S4" s="32"/>
      <c r="T4" s="32"/>
      <c r="U4" s="32"/>
      <c r="V4" s="32"/>
      <c r="W4" s="32"/>
      <c r="X4" s="32"/>
      <c r="Y4" s="32"/>
      <c r="Z4" s="50"/>
      <c r="AA4" s="50"/>
      <c r="AB4" s="1"/>
      <c r="AC4" s="1"/>
      <c r="AD4" s="1"/>
      <c r="AW4" s="5"/>
      <c r="AX4" s="5"/>
      <c r="AY4" s="5"/>
      <c r="AZ4" s="5"/>
      <c r="BA4" s="5"/>
      <c r="BB4" s="5"/>
      <c r="BC4" s="5"/>
      <c r="BD4" s="5"/>
      <c r="BE4" s="5"/>
      <c r="BF4" s="5"/>
    </row>
    <row r="5" spans="1:58">
      <c r="B5" s="406" t="s">
        <v>15</v>
      </c>
      <c r="C5" s="298"/>
      <c r="D5" s="30" t="s">
        <v>16</v>
      </c>
      <c r="E5" s="30" t="s">
        <v>17</v>
      </c>
      <c r="F5" s="30" t="s">
        <v>18</v>
      </c>
      <c r="G5" s="30" t="s">
        <v>19</v>
      </c>
      <c r="H5" s="30" t="s">
        <v>20</v>
      </c>
      <c r="I5" s="30" t="s">
        <v>21</v>
      </c>
      <c r="J5" s="30" t="s">
        <v>22</v>
      </c>
      <c r="K5" s="30" t="s">
        <v>23</v>
      </c>
      <c r="L5" s="30" t="s">
        <v>24</v>
      </c>
      <c r="M5" s="30" t="s">
        <v>25</v>
      </c>
      <c r="N5" s="30" t="s">
        <v>26</v>
      </c>
      <c r="O5" s="67" t="s">
        <v>27</v>
      </c>
      <c r="P5" s="8"/>
      <c r="Q5" s="31"/>
      <c r="R5" s="31"/>
      <c r="S5" s="31"/>
      <c r="T5" s="44"/>
      <c r="U5" s="44"/>
      <c r="V5" s="44"/>
      <c r="W5" s="44"/>
      <c r="X5" s="44"/>
      <c r="Y5" s="44"/>
      <c r="AB5" s="44"/>
      <c r="AC5" s="44"/>
      <c r="AD5" s="44"/>
      <c r="AM5" s="5"/>
      <c r="AN5" s="5"/>
      <c r="AO5" s="5"/>
      <c r="AP5" s="1"/>
      <c r="AQ5" s="5"/>
      <c r="AR5" s="1"/>
      <c r="AS5" s="1"/>
      <c r="AT5" s="1"/>
      <c r="AW5" s="5"/>
      <c r="AX5" s="5"/>
      <c r="AY5" s="5"/>
      <c r="AZ5" s="5"/>
      <c r="BA5" s="5"/>
      <c r="BB5" s="5"/>
      <c r="BC5" s="5"/>
      <c r="BD5" s="5"/>
      <c r="BE5" s="5"/>
      <c r="BF5" s="5"/>
    </row>
    <row r="6" spans="1:58">
      <c r="B6" s="753" t="s">
        <v>798</v>
      </c>
      <c r="C6" s="579"/>
      <c r="D6" s="403" t="s">
        <v>527</v>
      </c>
      <c r="E6" s="908"/>
      <c r="F6" s="908"/>
      <c r="G6" s="403" t="s">
        <v>127</v>
      </c>
      <c r="H6" s="338" t="s">
        <v>32</v>
      </c>
      <c r="I6" s="338" t="s">
        <v>529</v>
      </c>
      <c r="J6" s="338" t="s">
        <v>530</v>
      </c>
      <c r="K6" s="338" t="s">
        <v>117</v>
      </c>
      <c r="L6" s="338" t="s">
        <v>118</v>
      </c>
      <c r="M6" s="338" t="s">
        <v>121</v>
      </c>
      <c r="N6" s="338" t="s">
        <v>122</v>
      </c>
      <c r="O6" s="904" t="s">
        <v>531</v>
      </c>
      <c r="Q6" s="50"/>
      <c r="R6" s="50"/>
      <c r="S6" s="50"/>
      <c r="T6" s="44"/>
      <c r="U6" s="44"/>
      <c r="V6" s="44"/>
      <c r="X6" s="5"/>
      <c r="AB6" s="5"/>
      <c r="AC6" s="5"/>
      <c r="AD6" s="5"/>
      <c r="AM6" s="5"/>
      <c r="AN6" s="5"/>
      <c r="AO6" s="1"/>
      <c r="AP6" s="1"/>
      <c r="AQ6" s="1"/>
      <c r="AR6" s="1"/>
      <c r="AS6" s="1"/>
      <c r="AT6" s="1"/>
      <c r="AW6" s="5"/>
      <c r="AX6" s="5"/>
      <c r="AY6" s="5"/>
      <c r="AZ6" s="5"/>
      <c r="BA6" s="5"/>
      <c r="BB6" s="5"/>
      <c r="BC6" s="5"/>
      <c r="BD6" s="5"/>
      <c r="BE6" s="5"/>
      <c r="BF6" s="5"/>
    </row>
    <row r="7" spans="1:58">
      <c r="B7" s="909"/>
      <c r="C7" s="910"/>
      <c r="D7" s="908"/>
      <c r="E7" s="908"/>
      <c r="F7" s="908"/>
      <c r="G7" s="403"/>
      <c r="H7" s="398"/>
      <c r="I7" s="338"/>
      <c r="J7" s="338"/>
      <c r="K7" s="338"/>
      <c r="L7" s="338"/>
      <c r="M7" s="338"/>
      <c r="N7" s="338"/>
      <c r="O7" s="904"/>
      <c r="Q7" s="21"/>
      <c r="R7" s="1"/>
      <c r="S7" s="1"/>
      <c r="T7" s="29"/>
      <c r="U7" s="29"/>
      <c r="V7" s="29"/>
      <c r="W7" s="29"/>
      <c r="X7" s="29"/>
      <c r="Y7" s="29"/>
      <c r="Z7" s="29"/>
      <c r="AA7" s="29"/>
      <c r="AB7" s="1"/>
      <c r="AC7" s="5"/>
      <c r="AD7" s="1"/>
      <c r="AM7" s="1"/>
      <c r="AN7" s="1"/>
      <c r="AO7" s="1"/>
      <c r="AP7" s="1"/>
      <c r="AQ7" s="63"/>
      <c r="AR7" s="63"/>
      <c r="AS7" s="63"/>
      <c r="AT7" s="63"/>
      <c r="AW7" s="20"/>
      <c r="AX7" s="22"/>
      <c r="AY7" s="22"/>
      <c r="AZ7" s="22"/>
      <c r="BA7" s="22"/>
      <c r="BB7" s="22"/>
      <c r="BC7" s="22"/>
      <c r="BD7" s="22"/>
      <c r="BE7" s="22"/>
      <c r="BF7" s="22"/>
    </row>
    <row r="8" spans="1:58">
      <c r="B8" s="909"/>
      <c r="C8" s="910"/>
      <c r="D8" s="411" t="s">
        <v>109</v>
      </c>
      <c r="E8" s="411" t="s">
        <v>528</v>
      </c>
      <c r="F8" s="411" t="s">
        <v>110</v>
      </c>
      <c r="G8" s="403"/>
      <c r="H8" s="398"/>
      <c r="I8" s="411" t="s">
        <v>119</v>
      </c>
      <c r="J8" s="411" t="s">
        <v>120</v>
      </c>
      <c r="K8" s="882" t="s">
        <v>123</v>
      </c>
      <c r="L8" s="882" t="s">
        <v>124</v>
      </c>
      <c r="M8" s="882" t="s">
        <v>125</v>
      </c>
      <c r="N8" s="882" t="s">
        <v>126</v>
      </c>
      <c r="O8" s="905" t="s">
        <v>532</v>
      </c>
      <c r="P8" s="34"/>
      <c r="T8" s="27"/>
      <c r="U8" s="27"/>
      <c r="V8" s="27"/>
      <c r="W8" s="27"/>
      <c r="X8" s="27"/>
      <c r="Y8" s="27"/>
      <c r="Z8" s="27"/>
      <c r="AA8" s="27"/>
      <c r="AB8" s="1"/>
      <c r="AC8" s="1"/>
      <c r="AD8" s="1"/>
      <c r="AM8" s="1"/>
      <c r="AN8" s="1"/>
      <c r="AO8" s="1"/>
      <c r="AP8" s="1"/>
      <c r="AQ8" s="64"/>
      <c r="AR8" s="64"/>
      <c r="AS8" s="64"/>
      <c r="AT8" s="64"/>
      <c r="AW8" s="20"/>
      <c r="AX8" s="22"/>
      <c r="AY8" s="22"/>
      <c r="AZ8" s="22"/>
      <c r="BA8" s="22"/>
      <c r="BB8" s="22"/>
      <c r="BC8" s="22"/>
      <c r="BD8" s="22"/>
      <c r="BE8" s="22"/>
      <c r="BF8" s="22"/>
    </row>
    <row r="9" spans="1:58" ht="13.8" thickBot="1">
      <c r="A9" s="5"/>
      <c r="B9" s="911"/>
      <c r="C9" s="912"/>
      <c r="D9" s="901"/>
      <c r="E9" s="901"/>
      <c r="F9" s="901"/>
      <c r="G9" s="903"/>
      <c r="H9" s="902"/>
      <c r="I9" s="907"/>
      <c r="J9" s="907"/>
      <c r="K9" s="902"/>
      <c r="L9" s="902"/>
      <c r="M9" s="902"/>
      <c r="N9" s="902"/>
      <c r="O9" s="906"/>
      <c r="P9" s="8"/>
      <c r="Q9" s="51"/>
      <c r="R9" s="52"/>
      <c r="S9" s="52"/>
      <c r="T9" s="53"/>
      <c r="U9" s="53"/>
      <c r="V9" s="53"/>
      <c r="W9" s="24"/>
      <c r="X9" s="24"/>
      <c r="Y9" s="24"/>
      <c r="Z9" s="24"/>
      <c r="AA9" s="24"/>
      <c r="AM9" s="21"/>
      <c r="AN9" s="1"/>
      <c r="AO9" s="38"/>
      <c r="AP9" s="1"/>
      <c r="AQ9" s="61"/>
      <c r="AR9" s="61"/>
      <c r="AS9" s="65"/>
      <c r="AT9" s="65"/>
      <c r="AW9" s="20"/>
      <c r="AX9" s="22"/>
      <c r="AY9" s="22"/>
      <c r="AZ9" s="22"/>
      <c r="BA9" s="22"/>
      <c r="BB9" s="22"/>
      <c r="BC9" s="22"/>
      <c r="BD9" s="22"/>
      <c r="BE9" s="22"/>
      <c r="BF9" s="22"/>
    </row>
    <row r="10" spans="1:58">
      <c r="A10" s="20"/>
      <c r="B10" s="590" t="s">
        <v>111</v>
      </c>
      <c r="C10" s="590"/>
      <c r="D10" s="590"/>
      <c r="E10" s="590"/>
      <c r="F10" s="590"/>
      <c r="G10" s="590"/>
      <c r="H10" s="590"/>
      <c r="I10" s="590"/>
      <c r="J10" s="590"/>
      <c r="K10" s="590"/>
      <c r="L10" s="590"/>
      <c r="M10" s="590"/>
      <c r="N10" s="590"/>
      <c r="O10" s="590"/>
      <c r="P10" s="7"/>
      <c r="Q10" s="51"/>
      <c r="R10" s="52"/>
      <c r="S10" s="52"/>
      <c r="T10" s="24"/>
      <c r="U10" s="24"/>
      <c r="V10" s="24"/>
      <c r="W10" s="24"/>
      <c r="X10" s="24"/>
      <c r="Y10" s="24"/>
      <c r="Z10" s="24"/>
      <c r="AA10" s="24"/>
      <c r="AB10" s="10"/>
      <c r="AC10" s="10"/>
      <c r="AD10" s="10"/>
      <c r="AM10" s="1"/>
      <c r="AN10" s="1"/>
      <c r="AO10" s="1"/>
      <c r="AP10" s="1"/>
      <c r="AQ10" s="61"/>
      <c r="AR10" s="61"/>
      <c r="AS10" s="61"/>
      <c r="AT10" s="61"/>
      <c r="AW10" s="20"/>
      <c r="AX10" s="22"/>
      <c r="AY10" s="22"/>
      <c r="AZ10" s="22"/>
      <c r="BA10" s="22"/>
      <c r="BB10" s="22"/>
      <c r="BC10" s="22"/>
      <c r="BD10" s="22"/>
      <c r="BE10" s="22"/>
      <c r="BF10" s="22"/>
    </row>
    <row r="11" spans="1:58">
      <c r="A11" s="20"/>
      <c r="B11" s="878" t="s">
        <v>506</v>
      </c>
      <c r="C11" s="449"/>
      <c r="D11" s="449"/>
      <c r="E11" s="449"/>
      <c r="F11" s="449"/>
      <c r="G11" s="449"/>
      <c r="H11" s="449"/>
      <c r="I11" s="449"/>
      <c r="J11" s="449"/>
      <c r="K11" s="449"/>
      <c r="L11" s="449"/>
      <c r="M11" s="449"/>
      <c r="N11" s="449"/>
      <c r="O11" s="449"/>
      <c r="P11" s="7"/>
      <c r="Q11" s="51"/>
      <c r="R11" s="52"/>
      <c r="S11" s="52"/>
      <c r="T11" s="24"/>
      <c r="U11" s="24"/>
      <c r="V11" s="24"/>
      <c r="W11" s="24"/>
      <c r="X11" s="24"/>
      <c r="Y11" s="24"/>
      <c r="Z11" s="24"/>
      <c r="AA11" s="24"/>
      <c r="AB11" s="10"/>
      <c r="AC11" s="10"/>
      <c r="AD11" s="10"/>
      <c r="AM11" s="1"/>
      <c r="AN11" s="1"/>
      <c r="AO11" s="1"/>
      <c r="AP11" s="1"/>
      <c r="AQ11" s="61"/>
      <c r="AR11" s="61"/>
      <c r="AS11" s="61"/>
      <c r="AT11" s="61"/>
      <c r="AW11" s="20"/>
      <c r="AX11" s="22"/>
      <c r="AY11" s="22"/>
      <c r="AZ11" s="22"/>
      <c r="BA11" s="22"/>
      <c r="BB11" s="22"/>
      <c r="BC11" s="22"/>
      <c r="BD11" s="22"/>
      <c r="BE11" s="22"/>
      <c r="BF11" s="22"/>
    </row>
    <row r="12" spans="1:58">
      <c r="A12" s="20"/>
      <c r="B12" s="223" t="s">
        <v>505</v>
      </c>
      <c r="C12" s="274" t="s">
        <v>799</v>
      </c>
      <c r="D12" s="3">
        <f>+'Segment 1'!$N$48</f>
        <v>4.843543332514777</v>
      </c>
      <c r="E12" s="3">
        <f>+'Segment 1'!$N$49</f>
        <v>1.5111855197446105</v>
      </c>
      <c r="F12" s="3">
        <f>+'Segment 1'!$N$51</f>
        <v>3.3323578127701667</v>
      </c>
      <c r="G12" s="71" t="s">
        <v>13</v>
      </c>
      <c r="H12" s="3">
        <f>+'Segment 1'!$E$48</f>
        <v>1.1479999999999999</v>
      </c>
      <c r="I12" s="73">
        <f>+H12*D12*D12</f>
        <v>26.931978992012706</v>
      </c>
      <c r="J12" s="73">
        <f>SQRT(H12*D12)</f>
        <v>2.3580474434851735</v>
      </c>
      <c r="K12" s="71" t="s">
        <v>13</v>
      </c>
      <c r="L12" s="71" t="s">
        <v>13</v>
      </c>
      <c r="M12" s="71" t="s">
        <v>13</v>
      </c>
      <c r="N12" s="71" t="s">
        <v>13</v>
      </c>
      <c r="O12" s="132" t="s">
        <v>13</v>
      </c>
      <c r="P12" s="7"/>
      <c r="Q12" s="51"/>
      <c r="R12" s="52"/>
      <c r="S12" s="52"/>
      <c r="T12" s="24"/>
      <c r="U12" s="24"/>
      <c r="V12" s="24"/>
      <c r="W12" s="24"/>
      <c r="X12" s="24"/>
      <c r="Y12" s="24"/>
      <c r="Z12" s="24"/>
      <c r="AA12" s="24"/>
      <c r="AB12" s="10"/>
      <c r="AC12" s="10"/>
      <c r="AD12" s="10"/>
      <c r="AM12" s="39"/>
      <c r="AN12" s="26"/>
      <c r="AO12" s="38"/>
      <c r="AP12" s="1"/>
      <c r="AQ12" s="61"/>
      <c r="AR12" s="61"/>
      <c r="AS12" s="65"/>
      <c r="AT12" s="65"/>
      <c r="AW12" s="59"/>
    </row>
    <row r="13" spans="1:58">
      <c r="A13" s="20"/>
      <c r="B13" s="223" t="s">
        <v>504</v>
      </c>
      <c r="C13" s="274" t="s">
        <v>799</v>
      </c>
      <c r="D13" s="3">
        <f>+'Segment 2'!$N$48</f>
        <v>1.8803630387064492</v>
      </c>
      <c r="E13" s="3">
        <f>+'Segment 2'!$N$49</f>
        <v>0.60923762454088959</v>
      </c>
      <c r="F13" s="3">
        <f>+'Segment 2'!$N$51</f>
        <v>1.2711254141655595</v>
      </c>
      <c r="G13" s="71" t="s">
        <v>13</v>
      </c>
      <c r="H13" s="3">
        <f>+'Segment 2'!$E$48</f>
        <v>0.96699999999999997</v>
      </c>
      <c r="I13" s="73">
        <f>+H13*D13*D13</f>
        <v>3.4190849071413503</v>
      </c>
      <c r="J13" s="73">
        <f>SQRT(H13*D13)</f>
        <v>1.3484476476412186</v>
      </c>
      <c r="K13" s="71" t="s">
        <v>13</v>
      </c>
      <c r="L13" s="71" t="s">
        <v>13</v>
      </c>
      <c r="M13" s="71" t="s">
        <v>13</v>
      </c>
      <c r="N13" s="71" t="s">
        <v>13</v>
      </c>
      <c r="O13" s="132" t="s">
        <v>13</v>
      </c>
      <c r="P13" s="7"/>
      <c r="Q13" s="51"/>
      <c r="R13" s="52"/>
      <c r="S13" s="52"/>
      <c r="T13" s="24"/>
      <c r="U13" s="24"/>
      <c r="V13" s="24"/>
      <c r="W13" s="24"/>
      <c r="X13" s="24"/>
      <c r="Y13" s="24"/>
      <c r="Z13" s="24"/>
      <c r="AA13" s="24"/>
      <c r="AB13" s="10"/>
      <c r="AC13" s="10"/>
      <c r="AD13" s="10"/>
      <c r="AM13" s="26"/>
      <c r="AN13" s="26"/>
      <c r="AO13" s="1"/>
      <c r="AP13" s="1"/>
      <c r="AQ13" s="61"/>
      <c r="AR13" s="61"/>
      <c r="AS13" s="61"/>
      <c r="AT13" s="61"/>
    </row>
    <row r="14" spans="1:58">
      <c r="A14" s="20"/>
      <c r="B14" s="223" t="s">
        <v>113</v>
      </c>
      <c r="C14" s="279"/>
      <c r="D14" s="201">
        <f>E14+F14</f>
        <v>0</v>
      </c>
      <c r="E14" s="236"/>
      <c r="F14" s="236"/>
      <c r="G14" s="71" t="s">
        <v>13</v>
      </c>
      <c r="H14" s="236"/>
      <c r="I14" s="73">
        <f>+H14*D14*D14</f>
        <v>0</v>
      </c>
      <c r="J14" s="73">
        <f>SQRT(H14*D14)</f>
        <v>0</v>
      </c>
      <c r="K14" s="71" t="s">
        <v>13</v>
      </c>
      <c r="L14" s="71" t="s">
        <v>13</v>
      </c>
      <c r="M14" s="71" t="s">
        <v>13</v>
      </c>
      <c r="N14" s="71" t="s">
        <v>13</v>
      </c>
      <c r="O14" s="132" t="s">
        <v>13</v>
      </c>
      <c r="P14" s="7"/>
      <c r="Q14" s="51"/>
      <c r="R14" s="52"/>
      <c r="S14" s="52"/>
      <c r="T14" s="24"/>
      <c r="U14" s="24"/>
      <c r="V14" s="24"/>
      <c r="W14" s="24"/>
      <c r="X14" s="24"/>
      <c r="Y14" s="24"/>
      <c r="Z14" s="24"/>
      <c r="AA14" s="24"/>
      <c r="AB14" s="10"/>
      <c r="AC14" s="10"/>
      <c r="AD14" s="10"/>
      <c r="AM14" s="26"/>
      <c r="AN14" s="26"/>
      <c r="AO14" s="38"/>
      <c r="AP14" s="22"/>
      <c r="AQ14" s="22"/>
      <c r="AR14" s="22"/>
      <c r="AS14" s="22"/>
      <c r="AT14" s="22"/>
    </row>
    <row r="15" spans="1:58">
      <c r="A15" s="20"/>
      <c r="B15" s="223" t="s">
        <v>114</v>
      </c>
      <c r="C15" s="279"/>
      <c r="D15" s="201">
        <f>E15+F15</f>
        <v>0</v>
      </c>
      <c r="E15" s="236"/>
      <c r="F15" s="236"/>
      <c r="G15" s="71" t="s">
        <v>13</v>
      </c>
      <c r="H15" s="236"/>
      <c r="I15" s="73">
        <f>+H15*D15*D15</f>
        <v>0</v>
      </c>
      <c r="J15" s="73">
        <f>SQRT(H15*D15)</f>
        <v>0</v>
      </c>
      <c r="K15" s="71" t="s">
        <v>13</v>
      </c>
      <c r="L15" s="71" t="s">
        <v>13</v>
      </c>
      <c r="M15" s="71" t="s">
        <v>13</v>
      </c>
      <c r="N15" s="71" t="s">
        <v>13</v>
      </c>
      <c r="O15" s="132" t="s">
        <v>13</v>
      </c>
      <c r="P15" s="7"/>
      <c r="Q15" s="51"/>
      <c r="R15" s="52"/>
      <c r="S15" s="52"/>
      <c r="T15" s="24"/>
      <c r="U15" s="24"/>
      <c r="V15" s="24"/>
      <c r="W15" s="24"/>
      <c r="X15" s="24"/>
      <c r="Y15" s="24"/>
      <c r="Z15" s="24"/>
      <c r="AA15" s="24"/>
      <c r="AB15" s="10"/>
      <c r="AC15" s="10"/>
      <c r="AD15" s="10"/>
      <c r="AM15" s="58"/>
      <c r="AN15" s="58"/>
      <c r="AO15" s="17"/>
      <c r="AP15" s="17"/>
      <c r="AQ15" s="17"/>
      <c r="AR15" s="17"/>
      <c r="AS15" s="17"/>
      <c r="AT15" s="17"/>
    </row>
    <row r="16" spans="1:58">
      <c r="A16" s="20"/>
      <c r="B16" s="878" t="s">
        <v>507</v>
      </c>
      <c r="C16" s="449"/>
      <c r="D16" s="449"/>
      <c r="E16" s="449"/>
      <c r="F16" s="449"/>
      <c r="G16" s="449"/>
      <c r="H16" s="449"/>
      <c r="I16" s="449"/>
      <c r="J16" s="449"/>
      <c r="K16" s="449"/>
      <c r="L16" s="449"/>
      <c r="M16" s="449"/>
      <c r="N16" s="449"/>
      <c r="O16" s="449"/>
      <c r="P16" s="7"/>
      <c r="Q16" s="51"/>
      <c r="R16" s="52"/>
      <c r="S16" s="52"/>
      <c r="T16" s="24"/>
      <c r="U16" s="24"/>
      <c r="V16" s="24"/>
      <c r="W16" s="24"/>
      <c r="X16" s="24"/>
      <c r="Y16" s="24"/>
      <c r="Z16" s="24"/>
      <c r="AA16" s="24"/>
      <c r="AB16" s="10"/>
      <c r="AC16" s="10"/>
      <c r="AD16" s="10"/>
      <c r="AM16" s="58"/>
      <c r="AN16" s="58"/>
      <c r="AO16" s="17"/>
      <c r="AP16" s="17"/>
      <c r="AQ16" s="17"/>
      <c r="AR16" s="17"/>
      <c r="AS16" s="17"/>
      <c r="AT16" s="17"/>
    </row>
    <row r="17" spans="1:53">
      <c r="A17" s="20"/>
      <c r="B17" s="223" t="s">
        <v>505</v>
      </c>
      <c r="C17" s="274" t="s">
        <v>799</v>
      </c>
      <c r="D17" s="3">
        <f>+'Segment 1'!$N$80</f>
        <v>2.2478872768782416</v>
      </c>
      <c r="E17" s="3">
        <f>+'Segment 1'!$N$81</f>
        <v>0.94186476901198324</v>
      </c>
      <c r="F17" s="3">
        <f>+'Segment 1'!$N$83</f>
        <v>1.3060225078662586</v>
      </c>
      <c r="G17" s="71" t="s">
        <v>13</v>
      </c>
      <c r="H17" s="3">
        <f>+'Segment 1'!$E$80</f>
        <v>0.66400000000000003</v>
      </c>
      <c r="I17" s="73">
        <f>+H17*D17*D17</f>
        <v>3.355190147141915</v>
      </c>
      <c r="J17" s="73">
        <f>SQRT(H17*D17)</f>
        <v>1.2217189332441207</v>
      </c>
      <c r="K17" s="71" t="s">
        <v>13</v>
      </c>
      <c r="L17" s="71" t="s">
        <v>13</v>
      </c>
      <c r="M17" s="71" t="s">
        <v>13</v>
      </c>
      <c r="N17" s="71" t="s">
        <v>13</v>
      </c>
      <c r="O17" s="132" t="s">
        <v>13</v>
      </c>
      <c r="P17" s="7"/>
      <c r="Q17" s="51"/>
      <c r="R17" s="52"/>
      <c r="S17" s="52"/>
      <c r="T17" s="24"/>
      <c r="U17" s="24"/>
      <c r="V17" s="24"/>
      <c r="W17" s="24"/>
      <c r="X17" s="24"/>
      <c r="Y17" s="24"/>
      <c r="Z17" s="24"/>
      <c r="AA17" s="24"/>
      <c r="AB17" s="10"/>
      <c r="AC17" s="10"/>
      <c r="AD17" s="10"/>
      <c r="AM17" s="58"/>
      <c r="AN17" s="58"/>
      <c r="AO17" s="17"/>
      <c r="AP17" s="17"/>
      <c r="AQ17" s="17"/>
      <c r="AR17" s="17"/>
      <c r="AS17" s="17"/>
      <c r="AT17" s="17"/>
    </row>
    <row r="18" spans="1:53">
      <c r="A18" s="20"/>
      <c r="B18" s="223" t="s">
        <v>504</v>
      </c>
      <c r="C18" s="274" t="s">
        <v>799</v>
      </c>
      <c r="D18" s="3">
        <f>+'Segment 2'!$N$80</f>
        <v>1.089047024667511</v>
      </c>
      <c r="E18" s="3">
        <f>+'Segment 2'!$N$81</f>
        <v>0.36483075326361619</v>
      </c>
      <c r="F18" s="3">
        <f>+'Segment 2'!$N$83</f>
        <v>0.72421627140389488</v>
      </c>
      <c r="G18" s="71" t="s">
        <v>13</v>
      </c>
      <c r="H18" s="3">
        <f>+'Segment 2'!$E$80</f>
        <v>0.56699999999999995</v>
      </c>
      <c r="I18" s="73">
        <f>+H18*D18*D18</f>
        <v>0.67247528023836867</v>
      </c>
      <c r="J18" s="73">
        <f>SQRT(H18*D18)</f>
        <v>0.78580510496336087</v>
      </c>
      <c r="K18" s="71" t="s">
        <v>13</v>
      </c>
      <c r="L18" s="71" t="s">
        <v>13</v>
      </c>
      <c r="M18" s="71" t="s">
        <v>13</v>
      </c>
      <c r="N18" s="71" t="s">
        <v>13</v>
      </c>
      <c r="O18" s="132" t="s">
        <v>13</v>
      </c>
      <c r="P18" s="7"/>
      <c r="Q18" s="51"/>
      <c r="R18" s="52"/>
      <c r="S18" s="52"/>
      <c r="T18" s="24"/>
      <c r="U18" s="24"/>
      <c r="V18" s="24"/>
      <c r="W18" s="24"/>
      <c r="X18" s="24"/>
      <c r="Y18" s="24"/>
      <c r="Z18" s="24"/>
      <c r="AA18" s="24"/>
      <c r="AB18" s="10"/>
      <c r="AC18" s="10"/>
      <c r="AD18" s="10"/>
      <c r="AM18" s="58"/>
      <c r="AN18" s="58"/>
      <c r="AO18" s="17"/>
      <c r="AP18" s="17"/>
      <c r="AQ18" s="17"/>
      <c r="AR18" s="17"/>
      <c r="AS18" s="17"/>
      <c r="AT18" s="17"/>
    </row>
    <row r="19" spans="1:53">
      <c r="A19" s="20"/>
      <c r="B19" s="223" t="s">
        <v>113</v>
      </c>
      <c r="C19" s="279"/>
      <c r="D19" s="201">
        <f>E19+F19</f>
        <v>0</v>
      </c>
      <c r="E19" s="236"/>
      <c r="F19" s="236"/>
      <c r="G19" s="71" t="s">
        <v>13</v>
      </c>
      <c r="H19" s="236"/>
      <c r="I19" s="73">
        <f>+H19*D19*D19</f>
        <v>0</v>
      </c>
      <c r="J19" s="73">
        <f>SQRT(H19*D19)</f>
        <v>0</v>
      </c>
      <c r="K19" s="71" t="s">
        <v>13</v>
      </c>
      <c r="L19" s="71" t="s">
        <v>13</v>
      </c>
      <c r="M19" s="71" t="s">
        <v>13</v>
      </c>
      <c r="N19" s="71" t="s">
        <v>13</v>
      </c>
      <c r="O19" s="132" t="s">
        <v>13</v>
      </c>
      <c r="P19" s="7"/>
      <c r="Q19" s="51"/>
      <c r="R19" s="52"/>
      <c r="S19" s="52"/>
      <c r="T19" s="24"/>
      <c r="U19" s="24"/>
      <c r="V19" s="24"/>
      <c r="W19" s="24"/>
      <c r="X19" s="24"/>
      <c r="Y19" s="24"/>
      <c r="Z19" s="24"/>
      <c r="AA19" s="24"/>
      <c r="AB19" s="10"/>
      <c r="AC19" s="10"/>
      <c r="AD19" s="10"/>
      <c r="AM19" s="58"/>
      <c r="AN19" s="58"/>
      <c r="AO19" s="17"/>
      <c r="AP19" s="17"/>
      <c r="AQ19" s="17"/>
      <c r="AR19" s="17"/>
      <c r="AS19" s="17"/>
      <c r="AT19" s="17"/>
    </row>
    <row r="20" spans="1:53">
      <c r="A20" s="20"/>
      <c r="B20" s="223" t="s">
        <v>114</v>
      </c>
      <c r="C20" s="279"/>
      <c r="D20" s="201">
        <f>E20+F20</f>
        <v>0</v>
      </c>
      <c r="E20" s="236"/>
      <c r="F20" s="236"/>
      <c r="G20" s="71" t="s">
        <v>13</v>
      </c>
      <c r="H20" s="236"/>
      <c r="I20" s="73">
        <f>+H20*D20*D20</f>
        <v>0</v>
      </c>
      <c r="J20" s="73">
        <f>SQRT(H20*D20)</f>
        <v>0</v>
      </c>
      <c r="K20" s="71" t="s">
        <v>13</v>
      </c>
      <c r="L20" s="71" t="s">
        <v>13</v>
      </c>
      <c r="M20" s="71" t="s">
        <v>13</v>
      </c>
      <c r="N20" s="71" t="s">
        <v>13</v>
      </c>
      <c r="O20" s="132" t="s">
        <v>13</v>
      </c>
      <c r="P20" s="7"/>
      <c r="Q20" s="51"/>
      <c r="R20" s="52"/>
      <c r="S20" s="52"/>
      <c r="T20" s="24"/>
      <c r="U20" s="24"/>
      <c r="V20" s="24"/>
      <c r="W20" s="24"/>
      <c r="X20" s="24"/>
      <c r="Y20" s="24"/>
      <c r="Z20" s="24"/>
      <c r="AA20" s="24"/>
      <c r="AB20" s="10"/>
      <c r="AC20" s="10"/>
      <c r="AD20" s="10"/>
      <c r="AM20" s="58"/>
      <c r="AN20" s="58"/>
      <c r="AO20" s="17"/>
      <c r="AP20" s="17"/>
      <c r="AQ20" s="17"/>
      <c r="AR20" s="17"/>
      <c r="AS20" s="17"/>
      <c r="AT20" s="17"/>
    </row>
    <row r="21" spans="1:53">
      <c r="A21" s="20"/>
      <c r="B21" s="878" t="s">
        <v>508</v>
      </c>
      <c r="C21" s="449"/>
      <c r="D21" s="449"/>
      <c r="E21" s="449"/>
      <c r="F21" s="449"/>
      <c r="G21" s="449"/>
      <c r="H21" s="449"/>
      <c r="I21" s="449"/>
      <c r="J21" s="449"/>
      <c r="K21" s="449"/>
      <c r="L21" s="449"/>
      <c r="M21" s="449"/>
      <c r="N21" s="449"/>
      <c r="O21" s="449"/>
      <c r="P21" s="7"/>
      <c r="Q21" s="51"/>
      <c r="R21" s="52"/>
      <c r="S21" s="52"/>
      <c r="T21" s="24"/>
      <c r="U21" s="24"/>
      <c r="V21" s="24"/>
      <c r="W21" s="24"/>
      <c r="X21" s="24"/>
      <c r="Y21" s="24"/>
      <c r="Z21" s="24"/>
      <c r="AA21" s="24"/>
      <c r="AB21" s="10"/>
      <c r="AC21" s="10"/>
      <c r="AD21" s="10"/>
      <c r="AM21" s="58"/>
      <c r="AN21" s="58"/>
      <c r="AO21" s="17"/>
      <c r="AP21" s="17"/>
      <c r="AQ21" s="17"/>
      <c r="AR21" s="17"/>
      <c r="AS21" s="17"/>
      <c r="AT21" s="17"/>
    </row>
    <row r="22" spans="1:53">
      <c r="A22" s="20"/>
      <c r="B22" s="223" t="s">
        <v>505</v>
      </c>
      <c r="C22" s="274" t="s">
        <v>799</v>
      </c>
      <c r="D22" s="3">
        <f>+'Segment 1'!$M$127</f>
        <v>0.89977091831020795</v>
      </c>
      <c r="E22" s="3">
        <f>+'Segment 1'!$M$128</f>
        <v>0.24203837702544592</v>
      </c>
      <c r="F22" s="3">
        <f>+'Segment 1'!$M$129</f>
        <v>0.657732541284762</v>
      </c>
      <c r="G22" s="71" t="s">
        <v>13</v>
      </c>
      <c r="H22" s="3">
        <f>+'Segment 1'!$M$117</f>
        <v>1.18</v>
      </c>
      <c r="I22" s="73">
        <f>+H22*D22*D22</f>
        <v>0.95531349241541785</v>
      </c>
      <c r="J22" s="73">
        <f>SQRT(H22*D22)</f>
        <v>1.0304026803177704</v>
      </c>
      <c r="K22" s="71" t="s">
        <v>13</v>
      </c>
      <c r="L22" s="71" t="s">
        <v>13</v>
      </c>
      <c r="M22" s="71" t="s">
        <v>13</v>
      </c>
      <c r="N22" s="71" t="s">
        <v>13</v>
      </c>
      <c r="O22" s="132" t="s">
        <v>13</v>
      </c>
      <c r="P22" s="7"/>
      <c r="Q22" s="20"/>
      <c r="T22" s="24"/>
      <c r="U22" s="24"/>
      <c r="V22" s="24"/>
      <c r="W22" s="24"/>
      <c r="X22" s="24"/>
      <c r="Y22" s="24"/>
      <c r="Z22" s="24"/>
      <c r="AA22" s="24"/>
      <c r="AB22" s="10"/>
      <c r="AC22" s="10"/>
      <c r="AD22" s="10"/>
      <c r="AM22" s="17"/>
      <c r="AN22" s="17"/>
      <c r="AO22" s="17"/>
      <c r="AP22" s="17"/>
      <c r="AQ22" s="17"/>
      <c r="AR22" s="17"/>
      <c r="AS22" s="17"/>
      <c r="AT22" s="17"/>
      <c r="AW22" s="20"/>
      <c r="BA22" s="22"/>
    </row>
    <row r="23" spans="1:53">
      <c r="A23" s="20"/>
      <c r="B23" s="223" t="s">
        <v>504</v>
      </c>
      <c r="C23" s="274" t="s">
        <v>799</v>
      </c>
      <c r="D23" s="3">
        <f>+'Segment 2'!$M$127</f>
        <v>0.31074675241610678</v>
      </c>
      <c r="E23" s="3">
        <f>+'Segment 2'!$M$128</f>
        <v>8.825207768617431E-2</v>
      </c>
      <c r="F23" s="3">
        <f>+'Segment 2'!$M$129</f>
        <v>0.22249467472993242</v>
      </c>
      <c r="G23" s="71" t="s">
        <v>13</v>
      </c>
      <c r="H23" s="3">
        <f>+'Segment 2'!$M$117</f>
        <v>1.48</v>
      </c>
      <c r="I23" s="3">
        <f>+H23*D23*D23</f>
        <v>0.14291404532299259</v>
      </c>
      <c r="J23" s="3">
        <f>SQRT(H23*D23)</f>
        <v>0.67816310248777034</v>
      </c>
      <c r="K23" s="71" t="s">
        <v>13</v>
      </c>
      <c r="L23" s="71" t="s">
        <v>13</v>
      </c>
      <c r="M23" s="71" t="s">
        <v>13</v>
      </c>
      <c r="N23" s="71" t="s">
        <v>13</v>
      </c>
      <c r="O23" s="132" t="s">
        <v>13</v>
      </c>
      <c r="P23" s="7"/>
      <c r="Q23" s="54"/>
      <c r="R23" s="33"/>
      <c r="S23" s="33"/>
      <c r="T23" s="33"/>
      <c r="U23" s="33"/>
      <c r="V23" s="33"/>
      <c r="W23" s="33"/>
      <c r="X23" s="33"/>
      <c r="Y23" s="33"/>
      <c r="Z23" s="33"/>
      <c r="AA23" s="33"/>
      <c r="AB23" s="10"/>
      <c r="AC23" s="10"/>
      <c r="AD23" s="10"/>
      <c r="AM23" s="17"/>
      <c r="AN23" s="58"/>
      <c r="AO23" s="17"/>
      <c r="AP23" s="17"/>
      <c r="AQ23" s="17"/>
      <c r="AR23" s="17"/>
      <c r="AS23" s="17"/>
      <c r="AT23" s="17"/>
    </row>
    <row r="24" spans="1:53">
      <c r="A24" s="20"/>
      <c r="B24" s="223" t="s">
        <v>113</v>
      </c>
      <c r="C24" s="279"/>
      <c r="D24" s="201">
        <f>E24+F24</f>
        <v>0</v>
      </c>
      <c r="E24" s="236"/>
      <c r="F24" s="236"/>
      <c r="G24" s="71" t="s">
        <v>13</v>
      </c>
      <c r="H24" s="236"/>
      <c r="I24" s="3">
        <f>+H24*D24*D24</f>
        <v>0</v>
      </c>
      <c r="J24" s="3">
        <f>SQRT(H24*D24)</f>
        <v>0</v>
      </c>
      <c r="K24" s="71" t="s">
        <v>13</v>
      </c>
      <c r="L24" s="71" t="s">
        <v>13</v>
      </c>
      <c r="M24" s="71" t="s">
        <v>13</v>
      </c>
      <c r="N24" s="71" t="s">
        <v>13</v>
      </c>
      <c r="O24" s="132" t="s">
        <v>13</v>
      </c>
      <c r="P24" s="46"/>
      <c r="Q24" s="1"/>
      <c r="R24" s="1"/>
      <c r="S24" s="1"/>
      <c r="T24" s="1"/>
      <c r="U24" s="1"/>
      <c r="V24" s="1"/>
      <c r="W24" s="1"/>
      <c r="X24" s="1"/>
      <c r="Y24" s="1"/>
      <c r="Z24" s="1"/>
      <c r="AA24" s="1"/>
      <c r="AB24" s="10"/>
      <c r="AC24" s="10"/>
      <c r="AD24" s="10"/>
      <c r="AM24" s="17"/>
      <c r="AN24" s="17"/>
      <c r="AO24" s="17"/>
      <c r="AP24" s="17"/>
      <c r="AQ24" s="17"/>
      <c r="AR24" s="17"/>
      <c r="AS24" s="17"/>
      <c r="AT24" s="17"/>
      <c r="AW24" s="20"/>
      <c r="BA24" s="22"/>
    </row>
    <row r="25" spans="1:53" ht="13.8" thickBot="1">
      <c r="B25" s="226" t="s">
        <v>114</v>
      </c>
      <c r="C25" s="280"/>
      <c r="D25" s="205">
        <f>E25+F25</f>
        <v>0</v>
      </c>
      <c r="E25" s="237"/>
      <c r="F25" s="237"/>
      <c r="G25" s="71" t="s">
        <v>13</v>
      </c>
      <c r="H25" s="237"/>
      <c r="I25" s="37">
        <f>+H25*D25*D25</f>
        <v>0</v>
      </c>
      <c r="J25" s="37">
        <f>SQRT(H25*D25)</f>
        <v>0</v>
      </c>
      <c r="K25" s="71" t="s">
        <v>13</v>
      </c>
      <c r="L25" s="71" t="s">
        <v>13</v>
      </c>
      <c r="M25" s="71" t="s">
        <v>13</v>
      </c>
      <c r="N25" s="71" t="s">
        <v>13</v>
      </c>
      <c r="O25" s="132" t="s">
        <v>13</v>
      </c>
      <c r="P25" s="45"/>
      <c r="Q25" s="32"/>
      <c r="R25" s="32"/>
      <c r="S25" s="32"/>
      <c r="T25" s="32"/>
      <c r="U25" s="32"/>
      <c r="V25" s="32"/>
      <c r="W25" s="32"/>
      <c r="X25" s="32"/>
      <c r="Y25" s="32"/>
      <c r="Z25" s="50"/>
      <c r="AA25" s="50"/>
      <c r="AB25" s="10"/>
      <c r="AC25" s="10"/>
      <c r="AD25" s="10"/>
    </row>
    <row r="26" spans="1:53">
      <c r="B26" s="590" t="s">
        <v>112</v>
      </c>
      <c r="C26" s="590"/>
      <c r="D26" s="590"/>
      <c r="E26" s="590"/>
      <c r="F26" s="590"/>
      <c r="G26" s="590"/>
      <c r="H26" s="590"/>
      <c r="I26" s="590"/>
      <c r="J26" s="590"/>
      <c r="K26" s="590"/>
      <c r="L26" s="590"/>
      <c r="M26" s="590"/>
      <c r="N26" s="590"/>
      <c r="O26" s="590"/>
      <c r="P26" s="44"/>
      <c r="Q26" s="32"/>
      <c r="R26" s="32"/>
      <c r="S26" s="32"/>
      <c r="T26" s="32"/>
      <c r="U26" s="32"/>
      <c r="V26" s="32"/>
      <c r="W26" s="32"/>
      <c r="X26" s="32"/>
      <c r="Y26" s="32"/>
      <c r="Z26" s="50"/>
      <c r="AA26" s="50"/>
      <c r="AB26" s="1"/>
      <c r="AC26" s="1"/>
      <c r="AD26" s="1"/>
      <c r="AE26" s="1"/>
      <c r="AF26" s="1"/>
      <c r="AG26" s="1"/>
      <c r="AH26" s="1"/>
      <c r="AI26" s="1"/>
      <c r="AJ26" s="1"/>
      <c r="AM26" s="5"/>
      <c r="AN26" s="5"/>
      <c r="AO26" s="5"/>
      <c r="AP26" s="5"/>
      <c r="AQ26" s="5"/>
      <c r="AR26" s="1"/>
      <c r="AS26" s="1"/>
      <c r="AT26" s="1"/>
    </row>
    <row r="27" spans="1:53">
      <c r="B27" s="878" t="s">
        <v>510</v>
      </c>
      <c r="C27" s="449"/>
      <c r="D27" s="449"/>
      <c r="E27" s="449"/>
      <c r="F27" s="449"/>
      <c r="G27" s="449"/>
      <c r="H27" s="449"/>
      <c r="I27" s="449"/>
      <c r="J27" s="449"/>
      <c r="K27" s="449"/>
      <c r="L27" s="449"/>
      <c r="M27" s="449"/>
      <c r="N27" s="449"/>
      <c r="O27" s="449"/>
      <c r="P27" s="44"/>
      <c r="Q27" s="32"/>
      <c r="R27" s="32"/>
      <c r="S27" s="32"/>
      <c r="T27" s="32"/>
      <c r="U27" s="32"/>
      <c r="V27" s="32"/>
      <c r="W27" s="32"/>
      <c r="X27" s="32"/>
      <c r="Y27" s="32"/>
      <c r="Z27" s="50"/>
      <c r="AA27" s="50"/>
      <c r="AB27" s="1"/>
      <c r="AC27" s="1"/>
      <c r="AD27" s="1"/>
      <c r="AE27" s="1"/>
      <c r="AF27" s="1"/>
      <c r="AG27" s="1"/>
      <c r="AH27" s="1"/>
      <c r="AI27" s="1"/>
      <c r="AJ27" s="1"/>
      <c r="AM27" s="5"/>
      <c r="AN27" s="5"/>
      <c r="AO27" s="5"/>
      <c r="AP27" s="5"/>
      <c r="AQ27" s="5"/>
      <c r="AR27" s="1"/>
      <c r="AS27" s="1"/>
      <c r="AT27" s="1"/>
    </row>
    <row r="28" spans="1:53">
      <c r="A28" s="28"/>
      <c r="B28" s="223" t="s">
        <v>106</v>
      </c>
      <c r="C28" s="274" t="s">
        <v>799</v>
      </c>
      <c r="D28" s="3">
        <f>+'Intersection 1'!$N$53</f>
        <v>1.3340843594658118</v>
      </c>
      <c r="E28" s="3">
        <f>+'Intersection 1'!$N$54</f>
        <v>0.46159318837517083</v>
      </c>
      <c r="F28" s="3">
        <f>+'Intersection 1'!$N$56</f>
        <v>0.872491171090641</v>
      </c>
      <c r="G28" s="71" t="s">
        <v>13</v>
      </c>
      <c r="H28" s="74">
        <f>+'Intersection 1'!$F$53</f>
        <v>0.81</v>
      </c>
      <c r="I28" s="73">
        <f>+H28*D28*D28</f>
        <v>1.4416226733187574</v>
      </c>
      <c r="J28" s="73">
        <f>SQRT(H28*D28)</f>
        <v>1.0395231268073393</v>
      </c>
      <c r="K28" s="71" t="s">
        <v>13</v>
      </c>
      <c r="L28" s="71" t="s">
        <v>13</v>
      </c>
      <c r="M28" s="71" t="s">
        <v>13</v>
      </c>
      <c r="N28" s="71" t="s">
        <v>13</v>
      </c>
      <c r="O28" s="132" t="s">
        <v>13</v>
      </c>
      <c r="P28" s="8"/>
      <c r="Q28" s="50"/>
      <c r="R28" s="50"/>
      <c r="S28" s="50"/>
      <c r="T28" s="5"/>
      <c r="U28" s="1"/>
      <c r="V28" s="5"/>
      <c r="X28" s="5"/>
      <c r="Y28" s="1"/>
      <c r="Z28" s="5"/>
      <c r="AB28" s="44"/>
      <c r="AC28" s="44"/>
      <c r="AD28" s="44"/>
      <c r="AE28" s="44"/>
      <c r="AF28" s="44"/>
      <c r="AG28" s="44"/>
      <c r="AH28" s="44"/>
      <c r="AI28" s="44"/>
      <c r="AJ28" s="44"/>
      <c r="AM28" s="5"/>
      <c r="AN28" s="5"/>
      <c r="AO28" s="5"/>
      <c r="AP28" s="1"/>
      <c r="AQ28" s="5"/>
      <c r="AR28" s="1"/>
      <c r="AS28" s="1"/>
      <c r="AT28" s="1"/>
    </row>
    <row r="29" spans="1:53">
      <c r="A29" s="72"/>
      <c r="B29" s="200" t="s">
        <v>107</v>
      </c>
      <c r="C29" s="274" t="s">
        <v>799</v>
      </c>
      <c r="D29" s="3">
        <f>+'Intersection 2'!$N$53</f>
        <v>1.4897783892375582</v>
      </c>
      <c r="E29" s="3">
        <f>+'Intersection 2'!$N$54</f>
        <v>0.5005655387838196</v>
      </c>
      <c r="F29" s="3">
        <f>+'Intersection 2'!$N$56</f>
        <v>0.98921285045373863</v>
      </c>
      <c r="G29" s="71" t="s">
        <v>13</v>
      </c>
      <c r="H29" s="74">
        <f>+'Intersection 2'!$F$53</f>
        <v>1.39</v>
      </c>
      <c r="I29" s="73">
        <f>+H29*D29*D29</f>
        <v>3.0850211121645623</v>
      </c>
      <c r="J29" s="73">
        <f>SQRT(H29*D29)</f>
        <v>1.4390246561613202</v>
      </c>
      <c r="K29" s="71" t="s">
        <v>13</v>
      </c>
      <c r="L29" s="71" t="s">
        <v>13</v>
      </c>
      <c r="M29" s="71" t="s">
        <v>13</v>
      </c>
      <c r="N29" s="71" t="s">
        <v>13</v>
      </c>
      <c r="O29" s="132" t="s">
        <v>13</v>
      </c>
      <c r="Q29" s="21"/>
      <c r="R29" s="1"/>
      <c r="S29" s="1"/>
      <c r="T29" s="1"/>
      <c r="U29" s="1"/>
      <c r="X29" s="1"/>
      <c r="Y29" s="1"/>
      <c r="AB29" s="32"/>
      <c r="AC29" s="32"/>
      <c r="AD29" s="32"/>
      <c r="AE29" s="32"/>
      <c r="AF29" s="32"/>
      <c r="AG29" s="32"/>
      <c r="AH29" s="32"/>
      <c r="AI29" s="32"/>
      <c r="AJ29" s="32"/>
      <c r="AM29" s="5"/>
      <c r="AN29" s="5"/>
      <c r="AO29" s="1"/>
      <c r="AP29" s="1"/>
      <c r="AQ29" s="1"/>
      <c r="AR29" s="1"/>
      <c r="AS29" s="1"/>
      <c r="AT29" s="1"/>
    </row>
    <row r="30" spans="1:53">
      <c r="A30" s="50"/>
      <c r="B30" s="223" t="s">
        <v>115</v>
      </c>
      <c r="C30" s="279"/>
      <c r="D30" s="218">
        <f>E30+F30</f>
        <v>0</v>
      </c>
      <c r="E30" s="238"/>
      <c r="F30" s="239"/>
      <c r="G30" s="71" t="s">
        <v>13</v>
      </c>
      <c r="H30" s="239"/>
      <c r="I30" s="73">
        <f>+H30*D30*D30</f>
        <v>0</v>
      </c>
      <c r="J30" s="73">
        <f>SQRT(H30*D30)</f>
        <v>0</v>
      </c>
      <c r="K30" s="71" t="s">
        <v>13</v>
      </c>
      <c r="L30" s="71" t="s">
        <v>13</v>
      </c>
      <c r="M30" s="71" t="s">
        <v>13</v>
      </c>
      <c r="N30" s="71" t="s">
        <v>13</v>
      </c>
      <c r="O30" s="132" t="s">
        <v>13</v>
      </c>
      <c r="Q30" s="50"/>
      <c r="AB30" s="32"/>
      <c r="AC30" s="32"/>
      <c r="AD30" s="32"/>
      <c r="AE30" s="32"/>
      <c r="AF30" s="32"/>
      <c r="AG30" s="32"/>
      <c r="AH30" s="32"/>
      <c r="AI30" s="32"/>
      <c r="AJ30" s="32"/>
      <c r="AM30" s="1"/>
      <c r="AN30" s="1"/>
      <c r="AO30" s="1"/>
      <c r="AP30" s="1"/>
      <c r="AQ30" s="63"/>
      <c r="AR30" s="63"/>
      <c r="AS30" s="63"/>
      <c r="AT30" s="63"/>
    </row>
    <row r="31" spans="1:53">
      <c r="A31" s="50"/>
      <c r="B31" s="200" t="s">
        <v>116</v>
      </c>
      <c r="C31" s="279"/>
      <c r="D31" s="218">
        <f>E31+F31</f>
        <v>0</v>
      </c>
      <c r="E31" s="238"/>
      <c r="F31" s="239"/>
      <c r="G31" s="71" t="s">
        <v>13</v>
      </c>
      <c r="H31" s="239"/>
      <c r="I31" s="73">
        <f>+H31*D31*D31</f>
        <v>0</v>
      </c>
      <c r="J31" s="73">
        <f>SQRT(H31*D31)</f>
        <v>0</v>
      </c>
      <c r="K31" s="71" t="s">
        <v>13</v>
      </c>
      <c r="L31" s="71" t="s">
        <v>13</v>
      </c>
      <c r="M31" s="71" t="s">
        <v>13</v>
      </c>
      <c r="N31" s="71" t="s">
        <v>13</v>
      </c>
      <c r="O31" s="132" t="s">
        <v>13</v>
      </c>
      <c r="T31" s="29"/>
      <c r="U31" s="29"/>
      <c r="V31" s="29"/>
      <c r="W31" s="27"/>
      <c r="X31" s="29"/>
      <c r="Y31" s="29"/>
      <c r="Z31" s="29"/>
      <c r="AA31" s="27"/>
      <c r="AB31" s="48"/>
      <c r="AC31" s="48"/>
      <c r="AD31" s="48"/>
      <c r="AE31" s="48"/>
      <c r="AF31" s="48"/>
      <c r="AG31" s="48"/>
      <c r="AH31" s="48"/>
      <c r="AI31" s="48"/>
      <c r="AJ31" s="48"/>
      <c r="AM31" s="1"/>
      <c r="AN31" s="1"/>
      <c r="AO31" s="1"/>
      <c r="AP31" s="1"/>
      <c r="AQ31" s="64"/>
      <c r="AR31" s="64"/>
      <c r="AS31" s="64"/>
      <c r="AT31" s="64"/>
    </row>
    <row r="32" spans="1:53">
      <c r="A32" s="50"/>
      <c r="B32" s="878" t="s">
        <v>507</v>
      </c>
      <c r="C32" s="449"/>
      <c r="D32" s="449"/>
      <c r="E32" s="449"/>
      <c r="F32" s="449"/>
      <c r="G32" s="449"/>
      <c r="H32" s="449"/>
      <c r="I32" s="449"/>
      <c r="J32" s="449"/>
      <c r="K32" s="449"/>
      <c r="L32" s="449"/>
      <c r="M32" s="449"/>
      <c r="N32" s="449"/>
      <c r="O32" s="449"/>
      <c r="T32" s="29"/>
      <c r="U32" s="29"/>
      <c r="V32" s="29"/>
      <c r="W32" s="27"/>
      <c r="X32" s="29"/>
      <c r="Y32" s="29"/>
      <c r="Z32" s="29"/>
      <c r="AA32" s="27"/>
      <c r="AB32" s="48"/>
      <c r="AC32" s="48"/>
      <c r="AD32" s="48"/>
      <c r="AE32" s="48"/>
      <c r="AF32" s="48"/>
      <c r="AG32" s="48"/>
      <c r="AH32" s="48"/>
      <c r="AI32" s="48"/>
      <c r="AJ32" s="48"/>
      <c r="AM32" s="1"/>
      <c r="AN32" s="1"/>
      <c r="AO32" s="1"/>
      <c r="AP32" s="1"/>
      <c r="AQ32" s="64"/>
      <c r="AR32" s="64"/>
      <c r="AS32" s="64"/>
      <c r="AT32" s="64"/>
    </row>
    <row r="33" spans="1:46">
      <c r="A33" s="42"/>
      <c r="B33" s="223" t="s">
        <v>106</v>
      </c>
      <c r="C33" s="274" t="s">
        <v>799</v>
      </c>
      <c r="D33" s="3">
        <f>+'Intersection 1'!$N$85</f>
        <v>0.22070436721094103</v>
      </c>
      <c r="E33" s="3">
        <f>+'Intersection 1'!$N$86</f>
        <v>6.9521875671446437E-2</v>
      </c>
      <c r="F33" s="3">
        <f>+'Intersection 1'!$N$88</f>
        <v>0.15118249153949459</v>
      </c>
      <c r="G33" s="71" t="s">
        <v>13</v>
      </c>
      <c r="H33" s="3">
        <f>+'Intersection 1'!$F$85</f>
        <v>1.34</v>
      </c>
      <c r="I33" s="73">
        <f>+H33*D33*D33</f>
        <v>6.5271959726015752E-2</v>
      </c>
      <c r="J33" s="73">
        <f>SQRT(H33*D33)</f>
        <v>0.54382336476346893</v>
      </c>
      <c r="K33" s="71" t="s">
        <v>13</v>
      </c>
      <c r="L33" s="71" t="s">
        <v>13</v>
      </c>
      <c r="M33" s="71" t="s">
        <v>13</v>
      </c>
      <c r="N33" s="71" t="s">
        <v>13</v>
      </c>
      <c r="O33" s="132" t="s">
        <v>13</v>
      </c>
      <c r="P33" s="34"/>
      <c r="T33" s="27"/>
      <c r="U33" s="27"/>
      <c r="V33" s="27"/>
      <c r="W33" s="27"/>
      <c r="X33" s="27"/>
      <c r="Y33" s="27"/>
      <c r="Z33" s="27"/>
      <c r="AA33" s="27"/>
      <c r="AB33" s="49"/>
      <c r="AC33" s="49"/>
      <c r="AD33" s="49"/>
      <c r="AE33" s="49"/>
      <c r="AF33" s="49"/>
      <c r="AG33" s="49"/>
      <c r="AH33" s="49"/>
      <c r="AI33" s="49"/>
      <c r="AJ33" s="49"/>
      <c r="AM33" s="21"/>
      <c r="AN33" s="1"/>
      <c r="AO33" s="38"/>
      <c r="AP33" s="1"/>
      <c r="AQ33" s="61"/>
      <c r="AR33" s="61"/>
      <c r="AS33" s="65"/>
      <c r="AT33" s="65"/>
    </row>
    <row r="34" spans="1:46">
      <c r="A34" s="42"/>
      <c r="B34" s="200" t="s">
        <v>107</v>
      </c>
      <c r="C34" s="274" t="s">
        <v>799</v>
      </c>
      <c r="D34" s="3">
        <f>+'Intersection 2'!$N$85</f>
        <v>9.9546895723296489E-2</v>
      </c>
      <c r="E34" s="3">
        <f>+'Intersection 2'!$N$86</f>
        <v>3.1058631465668503E-2</v>
      </c>
      <c r="F34" s="3">
        <f>+'Intersection 2'!$N$88</f>
        <v>6.8488264257627995E-2</v>
      </c>
      <c r="G34" s="71" t="s">
        <v>13</v>
      </c>
      <c r="H34" s="3">
        <f>+'Intersection 2'!$F$85</f>
        <v>0.11</v>
      </c>
      <c r="I34" s="73">
        <f>+H34*D34*D34</f>
        <v>1.0900542892959351E-3</v>
      </c>
      <c r="J34" s="73">
        <f>SQRT(H34*D34)</f>
        <v>0.10464300516309064</v>
      </c>
      <c r="K34" s="71" t="s">
        <v>13</v>
      </c>
      <c r="L34" s="71" t="s">
        <v>13</v>
      </c>
      <c r="M34" s="71" t="s">
        <v>13</v>
      </c>
      <c r="N34" s="71" t="s">
        <v>13</v>
      </c>
      <c r="O34" s="132" t="s">
        <v>13</v>
      </c>
      <c r="P34" s="5"/>
      <c r="Q34" s="51"/>
      <c r="R34" s="1"/>
      <c r="S34" s="1"/>
      <c r="T34" s="53"/>
      <c r="U34" s="53"/>
      <c r="V34" s="53"/>
      <c r="W34" s="1"/>
      <c r="X34" s="24"/>
      <c r="Y34" s="24"/>
      <c r="Z34" s="24"/>
      <c r="AA34" s="24"/>
      <c r="AB34" s="5"/>
      <c r="AC34" s="1"/>
      <c r="AD34" s="1"/>
      <c r="AE34" s="1"/>
      <c r="AF34" s="1"/>
      <c r="AG34" s="1"/>
      <c r="AH34" s="1"/>
      <c r="AI34" s="1"/>
      <c r="AJ34" s="1"/>
      <c r="AM34" s="1"/>
      <c r="AN34" s="1"/>
      <c r="AO34" s="1"/>
      <c r="AP34" s="1"/>
      <c r="AQ34" s="61"/>
      <c r="AR34" s="61"/>
      <c r="AS34" s="61"/>
      <c r="AT34" s="61"/>
    </row>
    <row r="35" spans="1:46">
      <c r="A35" s="22"/>
      <c r="B35" s="223" t="s">
        <v>115</v>
      </c>
      <c r="C35" s="279"/>
      <c r="D35" s="201">
        <f>E35+F35</f>
        <v>0</v>
      </c>
      <c r="E35" s="236"/>
      <c r="F35" s="236"/>
      <c r="G35" s="71" t="s">
        <v>13</v>
      </c>
      <c r="H35" s="242"/>
      <c r="I35" s="3">
        <f>+H35*D35*D35</f>
        <v>0</v>
      </c>
      <c r="J35" s="3">
        <f>SQRT(H35*D35)</f>
        <v>0</v>
      </c>
      <c r="K35" s="71" t="s">
        <v>13</v>
      </c>
      <c r="L35" s="71" t="s">
        <v>13</v>
      </c>
      <c r="M35" s="71" t="s">
        <v>13</v>
      </c>
      <c r="N35" s="71" t="s">
        <v>13</v>
      </c>
      <c r="O35" s="132" t="s">
        <v>13</v>
      </c>
      <c r="P35" s="5"/>
      <c r="Q35" s="51"/>
      <c r="R35" s="1"/>
      <c r="S35" s="1"/>
      <c r="T35" s="53"/>
      <c r="U35" s="53"/>
      <c r="V35" s="53"/>
      <c r="W35" s="1"/>
      <c r="X35" s="24"/>
      <c r="Y35" s="24"/>
      <c r="Z35" s="24"/>
      <c r="AA35" s="24"/>
      <c r="AB35" s="5"/>
      <c r="AC35" s="1"/>
      <c r="AD35" s="1"/>
      <c r="AE35" s="1"/>
      <c r="AF35" s="1"/>
      <c r="AG35" s="1"/>
      <c r="AH35" s="1"/>
      <c r="AI35" s="1"/>
      <c r="AJ35" s="1"/>
      <c r="AM35" s="1"/>
      <c r="AN35" s="1"/>
      <c r="AO35" s="1"/>
      <c r="AP35" s="1"/>
      <c r="AQ35" s="61"/>
      <c r="AR35" s="61"/>
      <c r="AS35" s="61"/>
      <c r="AT35" s="61"/>
    </row>
    <row r="36" spans="1:46" ht="13.8" thickBot="1">
      <c r="A36" s="20"/>
      <c r="B36" s="235" t="s">
        <v>116</v>
      </c>
      <c r="C36" s="281"/>
      <c r="D36" s="213">
        <f>E36+F36</f>
        <v>0</v>
      </c>
      <c r="E36" s="240"/>
      <c r="F36" s="240"/>
      <c r="G36" s="71" t="s">
        <v>13</v>
      </c>
      <c r="H36" s="243"/>
      <c r="I36" s="76">
        <f>+H36*D36*D36</f>
        <v>0</v>
      </c>
      <c r="J36" s="76">
        <f>SQRT(H36*D36)</f>
        <v>0</v>
      </c>
      <c r="K36" s="71" t="s">
        <v>13</v>
      </c>
      <c r="L36" s="71" t="s">
        <v>13</v>
      </c>
      <c r="M36" s="71" t="s">
        <v>13</v>
      </c>
      <c r="N36" s="71" t="s">
        <v>13</v>
      </c>
      <c r="O36" s="132" t="s">
        <v>13</v>
      </c>
      <c r="P36" s="45"/>
      <c r="Q36" s="51"/>
      <c r="R36" s="52"/>
      <c r="S36" s="52"/>
      <c r="V36" s="24"/>
      <c r="W36" s="24"/>
      <c r="X36" s="24"/>
      <c r="Y36" s="24"/>
      <c r="Z36" s="24"/>
      <c r="AA36" s="24"/>
      <c r="AB36" s="10"/>
      <c r="AC36" s="10"/>
      <c r="AD36" s="10"/>
      <c r="AE36" s="10"/>
      <c r="AF36" s="10"/>
      <c r="AG36" s="10"/>
      <c r="AH36" s="10"/>
      <c r="AI36" s="10"/>
      <c r="AJ36" s="10"/>
      <c r="AM36" s="39"/>
      <c r="AN36" s="26"/>
      <c r="AO36" s="38"/>
      <c r="AP36" s="1"/>
      <c r="AQ36" s="61"/>
      <c r="AR36" s="61"/>
      <c r="AS36" s="65"/>
      <c r="AT36" s="65"/>
    </row>
    <row r="37" spans="1:46" ht="14.4" thickTop="1" thickBot="1">
      <c r="A37" s="25"/>
      <c r="B37" s="884" t="s">
        <v>108</v>
      </c>
      <c r="C37" s="885"/>
      <c r="D37" s="77">
        <f>SUM(D12:D25)+SUM(D28:D36)</f>
        <v>14.415472355130902</v>
      </c>
      <c r="E37" s="77">
        <f>SUM(E12:E25)+SUM(E28:E36)</f>
        <v>4.8201483555688256</v>
      </c>
      <c r="F37" s="77">
        <f>SUM(F12:F25)+SUM(F28:F36)</f>
        <v>9.5953239995620763</v>
      </c>
      <c r="G37" s="241">
        <v>34</v>
      </c>
      <c r="H37" s="79" t="s">
        <v>13</v>
      </c>
      <c r="I37" s="77">
        <f>SUM(I12:I25)+SUM(I28:I36)</f>
        <v>40.069962663771378</v>
      </c>
      <c r="J37" s="77">
        <f>SUM(J12:J25)+SUM(J28:J36)</f>
        <v>10.549599065034634</v>
      </c>
      <c r="K37" s="69">
        <f>1/(1+I37/D37)</f>
        <v>0.26457478682385183</v>
      </c>
      <c r="L37" s="69">
        <f>K37*D37+((1-K37)*G37)</f>
        <v>28.818427773312926</v>
      </c>
      <c r="M37" s="69">
        <f>1/(1+(J37/D37))</f>
        <v>0.57742564050855483</v>
      </c>
      <c r="N37" s="69">
        <f>+M37*D37+(1-M37)*G37</f>
        <v>22.691391580603963</v>
      </c>
      <c r="O37" s="191">
        <f>(L37+N37)/2</f>
        <v>25.754909676958444</v>
      </c>
      <c r="P37" s="45"/>
      <c r="S37" s="10"/>
      <c r="T37" s="10"/>
      <c r="U37" s="10"/>
      <c r="V37" s="10"/>
      <c r="W37" s="10"/>
      <c r="X37" s="10"/>
      <c r="Y37" s="10"/>
      <c r="Z37" s="10"/>
      <c r="AA37" s="10"/>
      <c r="AB37" s="10"/>
      <c r="AC37" s="10"/>
      <c r="AD37" s="10"/>
      <c r="AE37" s="10"/>
      <c r="AF37" s="10"/>
      <c r="AG37" s="10"/>
      <c r="AH37" s="10"/>
      <c r="AI37" s="10"/>
      <c r="AJ37" s="10"/>
      <c r="AM37" s="26"/>
      <c r="AN37" s="26"/>
      <c r="AO37" s="1"/>
      <c r="AP37" s="1"/>
      <c r="AQ37" s="61"/>
      <c r="AR37" s="61"/>
      <c r="AS37" s="61"/>
      <c r="AT37" s="61"/>
    </row>
    <row r="38" spans="1:46">
      <c r="A38" s="23"/>
      <c r="B38" s="33"/>
      <c r="C38" s="28"/>
      <c r="D38" s="28"/>
      <c r="F38" s="23"/>
      <c r="H38" s="23"/>
      <c r="J38" s="23"/>
      <c r="K38" s="23"/>
      <c r="L38" s="23"/>
      <c r="P38" s="45"/>
      <c r="S38" s="10"/>
      <c r="T38" s="10"/>
      <c r="U38" s="10"/>
      <c r="V38" s="10"/>
      <c r="W38" s="10"/>
      <c r="X38" s="10"/>
      <c r="Y38" s="10"/>
      <c r="Z38" s="10"/>
      <c r="AA38" s="10"/>
      <c r="AB38" s="10"/>
      <c r="AC38" s="10"/>
      <c r="AD38" s="10"/>
      <c r="AE38" s="10"/>
      <c r="AF38" s="10"/>
      <c r="AG38" s="10"/>
      <c r="AH38" s="10"/>
      <c r="AI38" s="10"/>
      <c r="AJ38" s="10"/>
      <c r="AM38" s="26"/>
      <c r="AN38" s="26"/>
      <c r="AO38" s="38"/>
      <c r="AP38" s="22"/>
      <c r="AQ38" s="22"/>
      <c r="AR38" s="22"/>
      <c r="AS38" s="22"/>
      <c r="AT38" s="22"/>
    </row>
    <row r="39" spans="1:46">
      <c r="A39" s="23"/>
      <c r="B39" s="33"/>
      <c r="C39" s="28"/>
      <c r="D39" s="28"/>
      <c r="F39" s="23"/>
      <c r="H39" s="23"/>
      <c r="J39" s="23"/>
      <c r="K39" s="23"/>
      <c r="L39" s="23"/>
      <c r="P39" s="45"/>
      <c r="S39" s="10"/>
      <c r="T39" s="10"/>
      <c r="U39" s="10"/>
      <c r="V39" s="10"/>
      <c r="W39" s="10"/>
      <c r="X39" s="10"/>
      <c r="Y39" s="10"/>
      <c r="Z39" s="10"/>
      <c r="AA39" s="10"/>
      <c r="AB39" s="10"/>
      <c r="AC39" s="10"/>
      <c r="AD39" s="10"/>
      <c r="AE39" s="10"/>
      <c r="AF39" s="10"/>
      <c r="AG39" s="10"/>
      <c r="AH39" s="10"/>
      <c r="AI39" s="10"/>
      <c r="AJ39" s="10"/>
      <c r="AM39" s="26"/>
      <c r="AN39" s="26"/>
      <c r="AO39" s="38"/>
      <c r="AP39" s="22"/>
      <c r="AQ39" s="22"/>
      <c r="AR39" s="22"/>
      <c r="AS39" s="22"/>
      <c r="AT39" s="22"/>
    </row>
    <row r="40" spans="1:46" ht="13.8" thickBot="1">
      <c r="A40" s="23"/>
      <c r="B40" s="33"/>
      <c r="C40" s="28"/>
      <c r="D40" s="28"/>
      <c r="F40" s="23"/>
      <c r="H40" s="23"/>
      <c r="J40" s="23"/>
      <c r="K40" s="23"/>
      <c r="L40" s="23"/>
      <c r="P40" s="45"/>
      <c r="S40" s="10"/>
      <c r="T40" s="10"/>
      <c r="U40" s="10"/>
      <c r="V40" s="10"/>
      <c r="W40" s="10"/>
      <c r="X40" s="10"/>
      <c r="Y40" s="10"/>
      <c r="Z40" s="10"/>
      <c r="AA40" s="10"/>
      <c r="AB40" s="10"/>
      <c r="AC40" s="10"/>
      <c r="AD40" s="10"/>
      <c r="AE40" s="10"/>
      <c r="AF40" s="10"/>
      <c r="AG40" s="10"/>
      <c r="AH40" s="10"/>
      <c r="AI40" s="10"/>
      <c r="AJ40" s="10"/>
      <c r="AM40" s="26"/>
      <c r="AN40" s="26"/>
      <c r="AO40" s="38"/>
      <c r="AP40" s="22"/>
      <c r="AQ40" s="22"/>
      <c r="AR40" s="22"/>
      <c r="AS40" s="22"/>
      <c r="AT40" s="22"/>
    </row>
    <row r="41" spans="1:46" ht="13.8" thickTop="1">
      <c r="A41" s="23"/>
      <c r="B41" s="33"/>
      <c r="C41" s="28"/>
      <c r="D41" s="28"/>
      <c r="G41" s="855" t="s">
        <v>533</v>
      </c>
      <c r="H41" s="879"/>
      <c r="I41" s="879"/>
      <c r="J41" s="879"/>
      <c r="K41" s="23"/>
      <c r="L41" s="23"/>
      <c r="S41" s="10"/>
      <c r="T41" s="10"/>
      <c r="U41" s="10"/>
      <c r="V41" s="10"/>
      <c r="W41" s="10"/>
      <c r="X41" s="10"/>
      <c r="Y41" s="10"/>
      <c r="Z41" s="10"/>
      <c r="AA41" s="10"/>
      <c r="AB41" s="10"/>
      <c r="AC41" s="10"/>
      <c r="AD41" s="10"/>
      <c r="AE41" s="10"/>
      <c r="AF41" s="10"/>
      <c r="AG41" s="10"/>
      <c r="AH41" s="10"/>
      <c r="AI41" s="10"/>
      <c r="AJ41" s="10"/>
      <c r="AM41" s="26"/>
      <c r="AN41" s="26"/>
      <c r="AO41" s="38"/>
      <c r="AP41" s="22"/>
      <c r="AQ41" s="22"/>
      <c r="AR41" s="22"/>
      <c r="AS41" s="22"/>
      <c r="AT41" s="22"/>
    </row>
    <row r="42" spans="1:46" ht="13.8" thickBot="1">
      <c r="A42" s="23"/>
      <c r="B42" s="33"/>
      <c r="C42" s="28"/>
      <c r="D42" s="28"/>
      <c r="G42" s="880"/>
      <c r="H42" s="880"/>
      <c r="I42" s="880"/>
      <c r="J42" s="880"/>
      <c r="K42" s="23"/>
      <c r="L42" s="23"/>
      <c r="S42" s="10"/>
      <c r="T42" s="10"/>
      <c r="U42" s="10"/>
      <c r="V42" s="10"/>
      <c r="W42" s="10"/>
      <c r="X42" s="10"/>
      <c r="Y42" s="10"/>
      <c r="Z42" s="10"/>
      <c r="AA42" s="10"/>
      <c r="AB42" s="10"/>
      <c r="AC42" s="10"/>
      <c r="AD42" s="10"/>
      <c r="AE42" s="10"/>
      <c r="AF42" s="10"/>
      <c r="AG42" s="10"/>
      <c r="AH42" s="10"/>
      <c r="AI42" s="10"/>
      <c r="AJ42" s="10"/>
      <c r="AM42" s="26"/>
      <c r="AN42" s="26"/>
      <c r="AO42" s="38"/>
      <c r="AP42" s="22"/>
      <c r="AQ42" s="22"/>
      <c r="AR42" s="22"/>
      <c r="AS42" s="22"/>
      <c r="AT42" s="22"/>
    </row>
    <row r="43" spans="1:46">
      <c r="A43" s="23"/>
      <c r="B43" s="33"/>
      <c r="C43" s="28"/>
      <c r="D43" s="28"/>
      <c r="G43" s="406" t="s">
        <v>15</v>
      </c>
      <c r="H43" s="298"/>
      <c r="I43" s="30" t="s">
        <v>16</v>
      </c>
      <c r="J43" s="67" t="s">
        <v>17</v>
      </c>
      <c r="K43" s="23"/>
      <c r="L43" s="23"/>
      <c r="S43" s="10"/>
      <c r="T43" s="10"/>
      <c r="U43" s="10"/>
      <c r="V43" s="10"/>
      <c r="W43" s="10"/>
      <c r="X43" s="10"/>
      <c r="Y43" s="10"/>
      <c r="Z43" s="10"/>
      <c r="AA43" s="10"/>
      <c r="AB43" s="10"/>
      <c r="AC43" s="10"/>
      <c r="AD43" s="10"/>
      <c r="AE43" s="10"/>
      <c r="AF43" s="10"/>
      <c r="AG43" s="10"/>
      <c r="AH43" s="10"/>
      <c r="AI43" s="10"/>
      <c r="AJ43" s="10"/>
      <c r="AM43" s="26"/>
      <c r="AN43" s="26"/>
      <c r="AO43" s="38"/>
      <c r="AP43" s="22"/>
      <c r="AQ43" s="22"/>
      <c r="AR43" s="22"/>
      <c r="AS43" s="22"/>
      <c r="AT43" s="22"/>
    </row>
    <row r="44" spans="1:46" ht="16.2" thickBot="1">
      <c r="A44" s="23"/>
      <c r="B44" s="33"/>
      <c r="C44" s="28"/>
      <c r="D44" s="28"/>
      <c r="G44" s="655" t="s">
        <v>512</v>
      </c>
      <c r="H44" s="655"/>
      <c r="I44" s="136" t="s">
        <v>513</v>
      </c>
      <c r="J44" s="5" t="s">
        <v>514</v>
      </c>
      <c r="K44" s="23"/>
      <c r="L44" s="23"/>
      <c r="S44" s="10"/>
      <c r="T44" s="10"/>
      <c r="U44" s="10"/>
      <c r="V44" s="10"/>
      <c r="W44" s="10"/>
      <c r="X44" s="10"/>
      <c r="Y44" s="10"/>
      <c r="Z44" s="10"/>
      <c r="AA44" s="10"/>
      <c r="AB44" s="10"/>
      <c r="AC44" s="10"/>
      <c r="AD44" s="10"/>
      <c r="AE44" s="10"/>
      <c r="AF44" s="10"/>
      <c r="AG44" s="10"/>
      <c r="AH44" s="10"/>
      <c r="AI44" s="10"/>
      <c r="AJ44" s="10"/>
      <c r="AM44" s="26"/>
      <c r="AN44" s="26"/>
      <c r="AO44" s="38"/>
      <c r="AP44" s="22"/>
      <c r="AQ44" s="22"/>
      <c r="AR44" s="22"/>
      <c r="AS44" s="22"/>
      <c r="AT44" s="22"/>
    </row>
    <row r="45" spans="1:46">
      <c r="A45" s="23"/>
      <c r="B45" s="33"/>
      <c r="C45" s="28"/>
      <c r="D45" s="28"/>
      <c r="G45" s="590" t="s">
        <v>111</v>
      </c>
      <c r="H45" s="590"/>
      <c r="I45" s="590"/>
      <c r="J45" s="590"/>
      <c r="K45" s="23"/>
      <c r="L45" s="23"/>
      <c r="S45" s="10"/>
      <c r="T45" s="10"/>
      <c r="U45" s="10"/>
      <c r="V45" s="10"/>
      <c r="W45" s="10"/>
      <c r="X45" s="10"/>
      <c r="Y45" s="10"/>
      <c r="Z45" s="10"/>
      <c r="AA45" s="10"/>
      <c r="AB45" s="10"/>
      <c r="AC45" s="10"/>
      <c r="AD45" s="10"/>
      <c r="AE45" s="10"/>
      <c r="AF45" s="10"/>
      <c r="AG45" s="10"/>
      <c r="AH45" s="10"/>
      <c r="AI45" s="10"/>
      <c r="AJ45" s="10"/>
      <c r="AM45" s="26"/>
      <c r="AN45" s="26"/>
      <c r="AO45" s="38"/>
      <c r="AP45" s="22"/>
      <c r="AQ45" s="22"/>
      <c r="AR45" s="22"/>
      <c r="AS45" s="22"/>
      <c r="AT45" s="22"/>
    </row>
    <row r="46" spans="1:46">
      <c r="A46" s="23"/>
      <c r="B46" s="33"/>
      <c r="C46" s="28"/>
      <c r="D46" s="28"/>
      <c r="G46" s="326" t="s">
        <v>505</v>
      </c>
      <c r="H46" s="334"/>
      <c r="I46" s="137">
        <f>+'Segment 1'!$M$138</f>
        <v>0.1837976351371742</v>
      </c>
      <c r="J46" s="138">
        <f>+'Segment 1'!$M$148</f>
        <v>0.51942809930070977</v>
      </c>
      <c r="K46" s="23"/>
      <c r="L46" s="23"/>
      <c r="S46" s="10"/>
      <c r="T46" s="10"/>
      <c r="U46" s="10"/>
      <c r="V46" s="10"/>
      <c r="W46" s="10"/>
      <c r="X46" s="10"/>
      <c r="Y46" s="10"/>
      <c r="Z46" s="10"/>
      <c r="AA46" s="10"/>
      <c r="AB46" s="10"/>
      <c r="AC46" s="10"/>
      <c r="AD46" s="10"/>
      <c r="AE46" s="10"/>
      <c r="AF46" s="10"/>
      <c r="AG46" s="10"/>
      <c r="AH46" s="10"/>
      <c r="AI46" s="10"/>
      <c r="AJ46" s="10"/>
      <c r="AM46" s="26"/>
      <c r="AN46" s="26"/>
      <c r="AO46" s="38"/>
      <c r="AP46" s="22"/>
      <c r="AQ46" s="22"/>
      <c r="AR46" s="22"/>
      <c r="AS46" s="22"/>
      <c r="AT46" s="22"/>
    </row>
    <row r="47" spans="1:46">
      <c r="A47" s="23"/>
      <c r="B47" s="33"/>
      <c r="C47" s="28"/>
      <c r="D47" s="28"/>
      <c r="G47" s="326" t="s">
        <v>504</v>
      </c>
      <c r="H47" s="334"/>
      <c r="I47" s="137">
        <f>+'Segment 2'!$M$138</f>
        <v>6.2322979500011269E-2</v>
      </c>
      <c r="J47" s="138">
        <f>+'Segment 2'!$M$148</f>
        <v>1.3120627263160267E-2</v>
      </c>
      <c r="K47" s="23"/>
      <c r="L47" s="23"/>
      <c r="S47" s="10"/>
      <c r="T47" s="10"/>
      <c r="U47" s="10"/>
      <c r="V47" s="10"/>
      <c r="W47" s="10"/>
      <c r="X47" s="10"/>
      <c r="Y47" s="10"/>
      <c r="Z47" s="10"/>
      <c r="AA47" s="10"/>
      <c r="AB47" s="10"/>
      <c r="AC47" s="10"/>
      <c r="AD47" s="10"/>
      <c r="AE47" s="10"/>
      <c r="AF47" s="10"/>
      <c r="AG47" s="10"/>
      <c r="AH47" s="10"/>
      <c r="AI47" s="10"/>
      <c r="AJ47" s="10"/>
      <c r="AM47" s="26"/>
      <c r="AN47" s="26"/>
      <c r="AO47" s="38"/>
      <c r="AP47" s="22"/>
      <c r="AQ47" s="22"/>
      <c r="AR47" s="22"/>
      <c r="AS47" s="22"/>
      <c r="AT47" s="22"/>
    </row>
    <row r="48" spans="1:46">
      <c r="A48" s="23"/>
      <c r="B48" s="33"/>
      <c r="C48" s="28"/>
      <c r="D48" s="28"/>
      <c r="G48" s="326" t="s">
        <v>113</v>
      </c>
      <c r="H48" s="334"/>
      <c r="I48" s="219"/>
      <c r="J48" s="220"/>
      <c r="K48" s="23"/>
      <c r="L48" s="23"/>
      <c r="S48" s="10"/>
      <c r="T48" s="10"/>
      <c r="U48" s="10"/>
      <c r="V48" s="10"/>
      <c r="W48" s="10"/>
      <c r="X48" s="10"/>
      <c r="Y48" s="10"/>
      <c r="Z48" s="10"/>
      <c r="AA48" s="10"/>
      <c r="AB48" s="10"/>
      <c r="AC48" s="10"/>
      <c r="AD48" s="10"/>
      <c r="AE48" s="10"/>
      <c r="AF48" s="10"/>
      <c r="AG48" s="10"/>
      <c r="AH48" s="10"/>
      <c r="AI48" s="10"/>
      <c r="AJ48" s="10"/>
      <c r="AM48" s="26"/>
      <c r="AN48" s="26"/>
      <c r="AO48" s="38"/>
      <c r="AP48" s="22"/>
      <c r="AQ48" s="22"/>
      <c r="AR48" s="22"/>
      <c r="AS48" s="22"/>
      <c r="AT48" s="22"/>
    </row>
    <row r="49" spans="1:54">
      <c r="A49" s="23"/>
      <c r="B49" s="33"/>
      <c r="C49" s="28"/>
      <c r="D49" s="28"/>
      <c r="G49" s="326" t="s">
        <v>114</v>
      </c>
      <c r="H49" s="334"/>
      <c r="I49" s="219"/>
      <c r="J49" s="220"/>
      <c r="K49" s="23"/>
      <c r="L49" s="23"/>
      <c r="S49" s="10"/>
      <c r="T49" s="10"/>
      <c r="U49" s="10"/>
      <c r="V49" s="10"/>
      <c r="W49" s="10"/>
      <c r="X49" s="10"/>
      <c r="Y49" s="10"/>
      <c r="Z49" s="10"/>
      <c r="AA49" s="10"/>
      <c r="AB49" s="10"/>
      <c r="AC49" s="10"/>
      <c r="AD49" s="10"/>
      <c r="AE49" s="10"/>
      <c r="AF49" s="10"/>
      <c r="AG49" s="10"/>
      <c r="AH49" s="10"/>
      <c r="AI49" s="10"/>
      <c r="AJ49" s="10"/>
      <c r="AM49" s="26"/>
      <c r="AN49" s="26"/>
      <c r="AO49" s="38"/>
      <c r="AP49" s="22"/>
      <c r="AQ49" s="22"/>
      <c r="AR49" s="22"/>
      <c r="AS49" s="22"/>
      <c r="AT49" s="22"/>
    </row>
    <row r="50" spans="1:54">
      <c r="A50" s="23"/>
      <c r="B50" s="33"/>
      <c r="C50" s="28"/>
      <c r="D50" s="28"/>
      <c r="G50" s="544" t="s">
        <v>112</v>
      </c>
      <c r="H50" s="543"/>
      <c r="I50" s="543"/>
      <c r="J50" s="472"/>
      <c r="K50" s="23"/>
      <c r="L50" s="23"/>
      <c r="S50" s="10"/>
      <c r="T50" s="10"/>
      <c r="U50" s="10"/>
      <c r="V50" s="10"/>
      <c r="W50" s="10"/>
      <c r="X50" s="10"/>
      <c r="Y50" s="10"/>
      <c r="Z50" s="10"/>
      <c r="AA50" s="10"/>
      <c r="AB50" s="10"/>
      <c r="AC50" s="10"/>
      <c r="AD50" s="10"/>
      <c r="AE50" s="10"/>
      <c r="AF50" s="10"/>
      <c r="AG50" s="10"/>
      <c r="AH50" s="10"/>
      <c r="AI50" s="10"/>
      <c r="AJ50" s="10"/>
      <c r="AM50" s="26"/>
      <c r="AN50" s="26"/>
      <c r="AO50" s="38"/>
      <c r="AP50" s="22"/>
      <c r="AQ50" s="22"/>
      <c r="AR50" s="22"/>
      <c r="AS50" s="22"/>
      <c r="AT50" s="22"/>
    </row>
    <row r="51" spans="1:54">
      <c r="A51" s="23"/>
      <c r="B51" s="33"/>
      <c r="C51" s="28"/>
      <c r="D51" s="28"/>
      <c r="G51" s="326" t="s">
        <v>106</v>
      </c>
      <c r="H51" s="334"/>
      <c r="I51" s="137">
        <f>+'Intersection 1'!$F$172</f>
        <v>1.5547887266767528E-2</v>
      </c>
      <c r="J51" s="138">
        <f>+'Intersection 1'!$F$173</f>
        <v>1.5547887266767528E-2</v>
      </c>
      <c r="K51" s="23"/>
      <c r="L51" s="23"/>
      <c r="S51" s="10"/>
      <c r="T51" s="10"/>
      <c r="U51" s="10"/>
      <c r="V51" s="10"/>
      <c r="W51" s="10"/>
      <c r="X51" s="10"/>
      <c r="Y51" s="10"/>
      <c r="Z51" s="10"/>
      <c r="AA51" s="10"/>
      <c r="AB51" s="10"/>
      <c r="AC51" s="10"/>
      <c r="AD51" s="10"/>
      <c r="AE51" s="10"/>
      <c r="AF51" s="10"/>
      <c r="AG51" s="10"/>
      <c r="AH51" s="10"/>
      <c r="AI51" s="10"/>
      <c r="AJ51" s="10"/>
      <c r="AM51" s="26"/>
      <c r="AN51" s="26"/>
      <c r="AO51" s="38"/>
      <c r="AP51" s="22"/>
      <c r="AQ51" s="22"/>
      <c r="AR51" s="22"/>
      <c r="AS51" s="22"/>
      <c r="AT51" s="22"/>
    </row>
    <row r="52" spans="1:54">
      <c r="A52" s="23"/>
      <c r="B52" s="33"/>
      <c r="C52" s="28"/>
      <c r="D52" s="28"/>
      <c r="G52" s="868" t="s">
        <v>107</v>
      </c>
      <c r="H52" s="334"/>
      <c r="I52" s="137">
        <f>+'Intersection 2'!$F$172</f>
        <v>0.24074833840544405</v>
      </c>
      <c r="J52" s="138">
        <f>+'Intersection 2'!$F$173</f>
        <v>9.5359517097651295E-3</v>
      </c>
      <c r="K52" s="23"/>
      <c r="L52" s="23"/>
      <c r="S52" s="10"/>
      <c r="T52" s="10"/>
      <c r="U52" s="10"/>
      <c r="V52" s="10"/>
      <c r="W52" s="10"/>
      <c r="X52" s="10"/>
      <c r="Y52" s="10"/>
      <c r="Z52" s="10"/>
      <c r="AA52" s="10"/>
      <c r="AB52" s="10"/>
      <c r="AC52" s="10"/>
      <c r="AD52" s="10"/>
      <c r="AE52" s="10"/>
      <c r="AF52" s="10"/>
      <c r="AG52" s="10"/>
      <c r="AH52" s="10"/>
      <c r="AI52" s="10"/>
      <c r="AJ52" s="10"/>
      <c r="AM52" s="26"/>
      <c r="AN52" s="26"/>
      <c r="AO52" s="38"/>
      <c r="AP52" s="22"/>
      <c r="AQ52" s="22"/>
      <c r="AR52" s="22"/>
      <c r="AS52" s="22"/>
      <c r="AT52" s="22"/>
    </row>
    <row r="53" spans="1:54">
      <c r="A53" s="23"/>
      <c r="B53" s="33"/>
      <c r="C53" s="28"/>
      <c r="D53" s="28"/>
      <c r="G53" s="326" t="s">
        <v>115</v>
      </c>
      <c r="H53" s="334"/>
      <c r="I53" s="219"/>
      <c r="J53" s="220"/>
      <c r="K53" s="23"/>
      <c r="L53" s="23"/>
      <c r="S53" s="10"/>
      <c r="T53" s="10"/>
      <c r="U53" s="10"/>
      <c r="V53" s="10"/>
      <c r="W53" s="10"/>
      <c r="X53" s="10"/>
      <c r="Y53" s="10"/>
      <c r="Z53" s="10"/>
      <c r="AA53" s="10"/>
      <c r="AB53" s="10"/>
      <c r="AC53" s="10"/>
      <c r="AD53" s="10"/>
      <c r="AE53" s="10"/>
      <c r="AF53" s="10"/>
      <c r="AG53" s="10"/>
      <c r="AH53" s="10"/>
      <c r="AI53" s="10"/>
      <c r="AJ53" s="10"/>
      <c r="AM53" s="26"/>
      <c r="AN53" s="26"/>
      <c r="AO53" s="38"/>
      <c r="AP53" s="22"/>
      <c r="AQ53" s="22"/>
      <c r="AR53" s="22"/>
      <c r="AS53" s="22"/>
      <c r="AT53" s="22"/>
    </row>
    <row r="54" spans="1:54" ht="13.8" thickBot="1">
      <c r="A54" s="32"/>
      <c r="B54" s="33"/>
      <c r="C54" s="55"/>
      <c r="D54" s="32"/>
      <c r="G54" s="869" t="s">
        <v>116</v>
      </c>
      <c r="H54" s="870"/>
      <c r="I54" s="221"/>
      <c r="J54" s="222"/>
      <c r="K54" s="32"/>
      <c r="L54" s="32"/>
      <c r="S54" s="10"/>
      <c r="T54" s="10"/>
      <c r="U54" s="10"/>
      <c r="V54" s="10"/>
      <c r="W54" s="10"/>
      <c r="X54" s="10"/>
      <c r="Y54" s="10"/>
      <c r="Z54" s="10"/>
      <c r="AA54" s="10"/>
      <c r="AB54" s="10"/>
      <c r="AC54" s="10"/>
      <c r="AD54" s="10"/>
      <c r="AE54" s="10"/>
      <c r="AF54" s="10"/>
      <c r="AG54" s="10"/>
      <c r="AH54" s="10"/>
      <c r="AI54" s="10"/>
      <c r="AJ54" s="10"/>
      <c r="AM54" s="58"/>
      <c r="AN54" s="58"/>
      <c r="AO54" s="17"/>
      <c r="AP54" s="17"/>
      <c r="AQ54" s="17"/>
      <c r="AR54" s="17"/>
      <c r="AS54" s="17"/>
      <c r="AT54" s="17"/>
    </row>
    <row r="55" spans="1:54" ht="14.4" thickTop="1" thickBot="1">
      <c r="B55" s="33"/>
      <c r="C55" s="21"/>
      <c r="D55" s="1"/>
      <c r="G55" s="871" t="s">
        <v>108</v>
      </c>
      <c r="H55" s="872"/>
      <c r="I55" s="139">
        <f>SUM($I$46:$I$49,$I$51:$I$54)</f>
        <v>0.50241684030939704</v>
      </c>
      <c r="J55" s="139">
        <f>SUM($J$46:$J$49,$J$51:$J$54)</f>
        <v>0.55763256554040264</v>
      </c>
      <c r="K55" s="1"/>
      <c r="S55" s="10"/>
      <c r="T55" s="10"/>
      <c r="U55" s="10"/>
      <c r="V55" s="10"/>
      <c r="W55" s="10"/>
      <c r="X55" s="10"/>
      <c r="Y55" s="10"/>
      <c r="Z55" s="10"/>
      <c r="AA55" s="10"/>
      <c r="AB55" s="10"/>
      <c r="AC55" s="10"/>
      <c r="AD55" s="10"/>
      <c r="AE55" s="10"/>
      <c r="AF55" s="10"/>
      <c r="AG55" s="10"/>
      <c r="AH55" s="10"/>
      <c r="AI55" s="10"/>
      <c r="AJ55" s="10"/>
      <c r="AM55" s="9"/>
      <c r="AN55" s="17"/>
      <c r="AO55" s="17"/>
      <c r="AP55" s="17"/>
      <c r="AQ55" s="17"/>
      <c r="AR55" s="17"/>
      <c r="AS55" s="17"/>
      <c r="AT55" s="17"/>
    </row>
    <row r="56" spans="1:54">
      <c r="B56" s="33"/>
      <c r="C56" s="21"/>
      <c r="D56" s="1"/>
      <c r="G56" s="140"/>
      <c r="H56" s="17"/>
      <c r="I56" s="141"/>
      <c r="J56" s="141"/>
      <c r="K56" s="1"/>
      <c r="S56" s="10"/>
      <c r="T56" s="10"/>
      <c r="U56" s="10"/>
      <c r="V56" s="10"/>
      <c r="W56" s="10"/>
      <c r="X56" s="10"/>
      <c r="Y56" s="10"/>
      <c r="Z56" s="10"/>
      <c r="AA56" s="10"/>
      <c r="AB56" s="10"/>
      <c r="AC56" s="10"/>
      <c r="AD56" s="10"/>
      <c r="AE56" s="10"/>
      <c r="AF56" s="10"/>
      <c r="AG56" s="10"/>
      <c r="AH56" s="10"/>
      <c r="AI56" s="10"/>
      <c r="AJ56" s="10"/>
      <c r="AM56" s="9"/>
      <c r="AN56" s="17"/>
      <c r="AO56" s="17"/>
      <c r="AP56" s="17"/>
      <c r="AQ56" s="17"/>
      <c r="AR56" s="17"/>
      <c r="AS56" s="17"/>
      <c r="AT56" s="17"/>
    </row>
    <row r="57" spans="1:54">
      <c r="B57" s="33"/>
      <c r="C57" s="38"/>
      <c r="D57" s="38"/>
      <c r="E57" s="38"/>
      <c r="F57" s="39"/>
      <c r="G57" s="26"/>
      <c r="H57" s="39"/>
      <c r="J57" s="1"/>
      <c r="K57" s="1"/>
      <c r="L57" s="38"/>
      <c r="M57" s="1"/>
      <c r="P57" s="45"/>
      <c r="S57" s="10"/>
      <c r="T57" s="10"/>
      <c r="U57" s="10"/>
      <c r="V57" s="10"/>
      <c r="W57" s="10"/>
      <c r="X57" s="10"/>
      <c r="Y57" s="10"/>
      <c r="Z57" s="10"/>
      <c r="AA57" s="10"/>
      <c r="AB57" s="10"/>
      <c r="AC57" s="10"/>
      <c r="AD57" s="10"/>
      <c r="AE57" s="10"/>
      <c r="AF57" s="10"/>
      <c r="AG57" s="10"/>
      <c r="AH57" s="10"/>
      <c r="AI57" s="10"/>
      <c r="AJ57" s="10"/>
      <c r="AM57" s="66"/>
      <c r="AN57" s="58"/>
      <c r="AO57" s="17"/>
      <c r="AP57" s="17"/>
      <c r="AQ57" s="17"/>
      <c r="AR57" s="17"/>
      <c r="AS57" s="17"/>
      <c r="AT57" s="17"/>
    </row>
    <row r="58" spans="1:54" ht="13.8" thickBot="1">
      <c r="B58" s="33"/>
      <c r="C58" s="21"/>
      <c r="D58" s="1"/>
      <c r="E58" s="1"/>
      <c r="K58" s="22"/>
      <c r="L58" s="24"/>
      <c r="M58" s="1"/>
      <c r="P58" s="45"/>
      <c r="S58" s="10"/>
      <c r="T58" s="10"/>
      <c r="U58" s="10"/>
      <c r="V58" s="10"/>
      <c r="W58" s="10"/>
      <c r="X58" s="10"/>
      <c r="Y58" s="10"/>
      <c r="Z58" s="10"/>
      <c r="AA58" s="10"/>
      <c r="AB58" s="10"/>
      <c r="AC58" s="10"/>
      <c r="AD58" s="10"/>
      <c r="AE58" s="10"/>
      <c r="AF58" s="10"/>
      <c r="AG58" s="10"/>
      <c r="AH58" s="10"/>
      <c r="AI58" s="10"/>
      <c r="AJ58" s="10"/>
      <c r="AM58" s="17"/>
      <c r="AN58" s="17"/>
      <c r="AO58" s="17"/>
      <c r="AP58" s="17"/>
      <c r="AQ58" s="17"/>
      <c r="AR58" s="17"/>
      <c r="AS58" s="17"/>
      <c r="AT58" s="17"/>
    </row>
    <row r="59" spans="1:54" ht="13.8" thickTop="1">
      <c r="C59" s="855" t="s">
        <v>534</v>
      </c>
      <c r="D59" s="668"/>
      <c r="E59" s="668"/>
      <c r="F59" s="668"/>
      <c r="G59" s="668"/>
      <c r="H59" s="668"/>
      <c r="I59" s="668"/>
      <c r="J59" s="668"/>
      <c r="K59" s="668"/>
      <c r="L59" s="668"/>
      <c r="M59" s="668"/>
      <c r="N59" s="668"/>
      <c r="P59" s="44"/>
      <c r="Q59" s="1"/>
      <c r="R59" s="1"/>
      <c r="S59" s="1"/>
      <c r="T59" s="1"/>
      <c r="U59" s="1"/>
      <c r="V59" s="1"/>
      <c r="W59" s="1"/>
      <c r="X59" s="1"/>
      <c r="Y59" s="1"/>
      <c r="Z59" s="1"/>
      <c r="AA59" s="1"/>
      <c r="AB59" s="5"/>
      <c r="AC59" s="5"/>
      <c r="AD59" s="5"/>
      <c r="AE59" s="5"/>
      <c r="AF59" s="5"/>
      <c r="AG59" s="5"/>
      <c r="AH59" s="5"/>
      <c r="AI59" s="5"/>
      <c r="AJ59" s="5"/>
      <c r="AM59" s="17"/>
      <c r="AN59" s="17"/>
      <c r="AO59" s="17"/>
      <c r="AP59" s="17"/>
      <c r="AQ59" s="17"/>
      <c r="AR59" s="17"/>
      <c r="AS59" s="17"/>
      <c r="AT59" s="17"/>
    </row>
    <row r="60" spans="1:54" ht="13.8" thickBot="1">
      <c r="C60" s="669"/>
      <c r="D60" s="669"/>
      <c r="E60" s="669"/>
      <c r="F60" s="669"/>
      <c r="G60" s="669"/>
      <c r="H60" s="669"/>
      <c r="I60" s="669"/>
      <c r="J60" s="669"/>
      <c r="K60" s="669"/>
      <c r="L60" s="669"/>
      <c r="M60" s="669"/>
      <c r="N60" s="669"/>
      <c r="P60" s="45"/>
      <c r="S60" s="10"/>
      <c r="T60" s="10"/>
      <c r="U60" s="10"/>
      <c r="V60" s="10"/>
      <c r="W60" s="10"/>
      <c r="X60" s="10"/>
      <c r="Y60" s="10"/>
      <c r="Z60" s="10"/>
      <c r="AA60" s="10"/>
      <c r="AB60" s="10"/>
      <c r="AC60" s="10"/>
      <c r="AD60" s="10"/>
      <c r="AE60" s="10"/>
      <c r="AF60" s="10"/>
      <c r="AG60" s="10"/>
      <c r="AH60" s="10"/>
      <c r="AI60" s="10"/>
      <c r="AJ60" s="10"/>
      <c r="AM60" s="17"/>
      <c r="AN60" s="17"/>
      <c r="AO60" s="17"/>
      <c r="AP60" s="17"/>
      <c r="AQ60" s="17"/>
      <c r="AR60" s="17"/>
      <c r="AS60" s="17"/>
      <c r="AT60" s="17"/>
    </row>
    <row r="61" spans="1:54">
      <c r="C61" s="860" t="s">
        <v>15</v>
      </c>
      <c r="D61" s="845"/>
      <c r="E61" s="844" t="s">
        <v>16</v>
      </c>
      <c r="F61" s="845"/>
      <c r="G61" s="844" t="s">
        <v>17</v>
      </c>
      <c r="H61" s="845"/>
      <c r="I61" s="844" t="s">
        <v>18</v>
      </c>
      <c r="J61" s="845"/>
      <c r="K61" s="844" t="s">
        <v>19</v>
      </c>
      <c r="L61" s="845"/>
      <c r="M61" s="852" t="s">
        <v>20</v>
      </c>
      <c r="N61" s="853"/>
      <c r="P61" s="45"/>
      <c r="S61" s="47"/>
      <c r="T61" s="10"/>
      <c r="U61" s="10"/>
      <c r="V61" s="10"/>
      <c r="W61" s="10"/>
      <c r="X61" s="10"/>
      <c r="Y61" s="10"/>
      <c r="Z61" s="10"/>
      <c r="AA61" s="10"/>
      <c r="AB61" s="47"/>
      <c r="AC61" s="10"/>
      <c r="AD61" s="10"/>
      <c r="AE61" s="10"/>
      <c r="AF61" s="10"/>
      <c r="AG61" s="10"/>
      <c r="AH61" s="10"/>
      <c r="AI61" s="10"/>
      <c r="AJ61" s="10"/>
      <c r="AM61" s="32"/>
      <c r="AN61" s="27"/>
      <c r="AO61" s="27"/>
      <c r="AP61" s="27"/>
      <c r="AQ61" s="27"/>
      <c r="AR61" s="27"/>
      <c r="AS61" s="50"/>
    </row>
    <row r="62" spans="1:54" ht="15.6">
      <c r="C62" s="859" t="s">
        <v>42</v>
      </c>
      <c r="D62" s="731"/>
      <c r="E62" s="846" t="s">
        <v>130</v>
      </c>
      <c r="F62" s="847"/>
      <c r="G62" s="846" t="s">
        <v>517</v>
      </c>
      <c r="H62" s="847"/>
      <c r="I62" s="846" t="s">
        <v>520</v>
      </c>
      <c r="J62" s="847"/>
      <c r="K62" s="846" t="s">
        <v>618</v>
      </c>
      <c r="L62" s="847"/>
      <c r="M62" s="846" t="s">
        <v>131</v>
      </c>
      <c r="N62" s="854"/>
      <c r="P62" s="45"/>
      <c r="S62" s="47"/>
      <c r="T62" s="10"/>
      <c r="U62" s="10"/>
      <c r="V62" s="10"/>
      <c r="W62" s="10"/>
      <c r="X62" s="10"/>
      <c r="Y62" s="10"/>
      <c r="Z62" s="10"/>
      <c r="AA62" s="10"/>
      <c r="AB62" s="47"/>
      <c r="AC62" s="10"/>
      <c r="AD62" s="10"/>
      <c r="AE62" s="10"/>
      <c r="AF62" s="10"/>
      <c r="AG62" s="10"/>
      <c r="AH62" s="10"/>
      <c r="AI62" s="10"/>
      <c r="AJ62" s="10"/>
      <c r="AM62" s="32"/>
      <c r="AN62" s="27"/>
      <c r="AO62" s="27"/>
      <c r="AP62" s="27"/>
      <c r="AQ62" s="27"/>
      <c r="AR62" s="27"/>
      <c r="AS62" s="50"/>
    </row>
    <row r="63" spans="1:54" ht="15.6">
      <c r="C63" s="837" t="s">
        <v>34</v>
      </c>
      <c r="D63" s="838"/>
      <c r="E63" s="848" t="s">
        <v>137</v>
      </c>
      <c r="F63" s="849"/>
      <c r="G63" s="848" t="s">
        <v>535</v>
      </c>
      <c r="H63" s="849"/>
      <c r="I63" s="848" t="s">
        <v>536</v>
      </c>
      <c r="J63" s="849"/>
      <c r="K63" s="848" t="s">
        <v>537</v>
      </c>
      <c r="L63" s="856"/>
      <c r="M63" s="857" t="s">
        <v>524</v>
      </c>
      <c r="N63" s="858"/>
      <c r="P63" s="45"/>
      <c r="S63" s="47"/>
      <c r="T63" s="10"/>
      <c r="U63" s="10"/>
      <c r="V63" s="10"/>
      <c r="W63" s="10"/>
      <c r="X63" s="10"/>
      <c r="Y63" s="10"/>
      <c r="Z63" s="10"/>
      <c r="AA63" s="10"/>
      <c r="AB63" s="47"/>
      <c r="AC63" s="10"/>
      <c r="AD63" s="10"/>
      <c r="AE63" s="10"/>
      <c r="AF63" s="10"/>
      <c r="AG63" s="10"/>
      <c r="AH63" s="10"/>
      <c r="AI63" s="10"/>
      <c r="AJ63" s="10"/>
      <c r="AM63" s="32"/>
      <c r="AN63" s="27"/>
      <c r="AO63" s="27"/>
      <c r="AP63" s="27"/>
      <c r="AQ63" s="27"/>
      <c r="AR63" s="27"/>
      <c r="AS63" s="50"/>
    </row>
    <row r="64" spans="1:54">
      <c r="C64" s="839"/>
      <c r="D64" s="840"/>
      <c r="E64" s="323">
        <f>+D37</f>
        <v>14.415472355130902</v>
      </c>
      <c r="F64" s="850"/>
      <c r="G64" s="873">
        <f>+I55</f>
        <v>0.50241684030939704</v>
      </c>
      <c r="H64" s="874"/>
      <c r="I64" s="897">
        <f>+J55</f>
        <v>0.55763256554040264</v>
      </c>
      <c r="J64" s="898"/>
      <c r="K64" s="748">
        <f>+O37</f>
        <v>25.754909676958444</v>
      </c>
      <c r="L64" s="862"/>
      <c r="M64" s="748">
        <f>+G64+I64+K64</f>
        <v>26.814959082808244</v>
      </c>
      <c r="N64" s="862"/>
      <c r="P64" s="45"/>
      <c r="S64" s="10"/>
      <c r="T64" s="10"/>
      <c r="U64" s="10"/>
      <c r="V64" s="10"/>
      <c r="W64" s="10"/>
      <c r="X64" s="10"/>
      <c r="Y64" s="10"/>
      <c r="Z64" s="10"/>
      <c r="AA64" s="10"/>
      <c r="AB64" s="10"/>
      <c r="AC64" s="10"/>
      <c r="AD64" s="10"/>
      <c r="AE64" s="10"/>
      <c r="AF64" s="10"/>
      <c r="AG64" s="10"/>
      <c r="AH64" s="10"/>
      <c r="AI64" s="10"/>
      <c r="AJ64" s="10"/>
      <c r="AM64" s="27"/>
      <c r="AN64" s="27"/>
      <c r="AO64" s="27"/>
      <c r="AP64" s="27"/>
      <c r="AQ64" s="27"/>
      <c r="AR64" s="27"/>
      <c r="AS64" s="50"/>
      <c r="AT64" s="35"/>
      <c r="AU64" s="35"/>
      <c r="AV64" s="35"/>
      <c r="AW64" s="35"/>
      <c r="AX64" s="35"/>
      <c r="AY64" s="35"/>
      <c r="AZ64" s="35"/>
      <c r="BA64" s="35"/>
      <c r="BB64" s="35"/>
    </row>
    <row r="65" spans="1:54" ht="15.6">
      <c r="C65" s="837" t="s">
        <v>133</v>
      </c>
      <c r="D65" s="838"/>
      <c r="E65" s="848" t="s">
        <v>138</v>
      </c>
      <c r="F65" s="849"/>
      <c r="G65" s="848" t="s">
        <v>535</v>
      </c>
      <c r="H65" s="849"/>
      <c r="I65" s="848" t="s">
        <v>536</v>
      </c>
      <c r="J65" s="849"/>
      <c r="K65" s="848" t="s">
        <v>523</v>
      </c>
      <c r="L65" s="856"/>
      <c r="M65" s="857" t="s">
        <v>524</v>
      </c>
      <c r="N65" s="858"/>
      <c r="P65" s="45"/>
      <c r="S65" s="10"/>
      <c r="T65" s="10"/>
      <c r="U65" s="10"/>
      <c r="V65" s="10"/>
      <c r="W65" s="10"/>
      <c r="X65" s="10"/>
      <c r="Y65" s="10"/>
      <c r="Z65" s="10"/>
      <c r="AA65" s="10"/>
      <c r="AB65" s="10"/>
      <c r="AC65" s="10"/>
      <c r="AD65" s="10"/>
      <c r="AE65" s="10"/>
      <c r="AF65" s="10"/>
      <c r="AG65" s="10"/>
      <c r="AH65" s="10"/>
      <c r="AI65" s="10"/>
      <c r="AJ65" s="10"/>
      <c r="AM65" s="25"/>
      <c r="AP65" s="5"/>
      <c r="AT65" s="1"/>
      <c r="AY65" s="1"/>
      <c r="AZ65" s="1"/>
      <c r="BA65" s="1"/>
      <c r="BB65" s="1"/>
    </row>
    <row r="66" spans="1:54">
      <c r="C66" s="839"/>
      <c r="D66" s="840"/>
      <c r="E66" s="323">
        <f>+E37</f>
        <v>4.8201483555688256</v>
      </c>
      <c r="F66" s="850"/>
      <c r="G66" s="863">
        <f>+I55</f>
        <v>0.50241684030939704</v>
      </c>
      <c r="H66" s="864"/>
      <c r="I66" s="899">
        <f>+J55</f>
        <v>0.55763256554040264</v>
      </c>
      <c r="J66" s="900"/>
      <c r="K66" s="748">
        <f>+$K$64*$E$66/$E$64</f>
        <v>8.6117528769724156</v>
      </c>
      <c r="L66" s="862"/>
      <c r="M66" s="748">
        <f>+G66+I66+K66</f>
        <v>9.671802282822215</v>
      </c>
      <c r="N66" s="862"/>
      <c r="P66" s="45"/>
      <c r="S66" s="10"/>
      <c r="T66" s="10"/>
      <c r="U66" s="10"/>
      <c r="V66" s="10"/>
      <c r="W66" s="10"/>
      <c r="X66" s="10"/>
      <c r="Y66" s="10"/>
      <c r="Z66" s="10"/>
      <c r="AA66" s="10"/>
      <c r="AB66" s="10"/>
      <c r="AC66" s="10"/>
      <c r="AD66" s="10"/>
      <c r="AE66" s="10"/>
      <c r="AF66" s="10"/>
      <c r="AG66" s="10"/>
      <c r="AH66" s="10"/>
      <c r="AI66" s="10"/>
      <c r="AJ66" s="10"/>
      <c r="AM66" s="34"/>
      <c r="AN66" s="33"/>
      <c r="AO66" s="1"/>
      <c r="AP66" s="8"/>
      <c r="AQ66" s="5"/>
      <c r="AR66" s="35"/>
      <c r="AT66" s="5"/>
      <c r="AY66" s="5"/>
      <c r="AZ66" s="5"/>
      <c r="BA66" s="5"/>
    </row>
    <row r="67" spans="1:54" ht="15.6">
      <c r="C67" s="837" t="s">
        <v>134</v>
      </c>
      <c r="D67" s="841"/>
      <c r="E67" s="848" t="s">
        <v>139</v>
      </c>
      <c r="F67" s="849"/>
      <c r="G67" s="867" t="s">
        <v>13</v>
      </c>
      <c r="H67" s="849"/>
      <c r="I67" s="867" t="s">
        <v>13</v>
      </c>
      <c r="J67" s="849"/>
      <c r="K67" s="848" t="s">
        <v>522</v>
      </c>
      <c r="L67" s="856"/>
      <c r="M67" s="857" t="s">
        <v>524</v>
      </c>
      <c r="N67" s="858"/>
      <c r="P67" s="45"/>
      <c r="S67" s="10"/>
      <c r="T67" s="10"/>
      <c r="U67" s="10"/>
      <c r="V67" s="10"/>
      <c r="W67" s="10"/>
      <c r="X67" s="10"/>
      <c r="Y67" s="10"/>
      <c r="Z67" s="10"/>
      <c r="AA67" s="10"/>
      <c r="AB67" s="10"/>
      <c r="AC67" s="10"/>
      <c r="AD67" s="10"/>
      <c r="AE67" s="10"/>
      <c r="AF67" s="10"/>
      <c r="AG67" s="10"/>
      <c r="AH67" s="10"/>
      <c r="AI67" s="10"/>
      <c r="AJ67" s="10"/>
      <c r="AM67" s="21"/>
      <c r="AN67" s="1"/>
      <c r="AP67" s="36"/>
      <c r="AQ67" s="1"/>
      <c r="AR67" s="36"/>
      <c r="AS67" s="36"/>
      <c r="AY67" s="5"/>
      <c r="AZ67" s="5"/>
      <c r="BA67" s="5"/>
    </row>
    <row r="68" spans="1:54" ht="13.8" thickBot="1">
      <c r="C68" s="842"/>
      <c r="D68" s="843"/>
      <c r="E68" s="325">
        <f>+F37</f>
        <v>9.5953239995620763</v>
      </c>
      <c r="F68" s="851"/>
      <c r="G68" s="865">
        <v>0</v>
      </c>
      <c r="H68" s="866"/>
      <c r="I68" s="865">
        <v>0</v>
      </c>
      <c r="J68" s="866"/>
      <c r="K68" s="747">
        <f>+$K$64*$E$68/$E$64</f>
        <v>17.143156799986027</v>
      </c>
      <c r="L68" s="896"/>
      <c r="M68" s="747">
        <f>+G68+I68+K68</f>
        <v>17.143156799986027</v>
      </c>
      <c r="N68" s="861"/>
      <c r="P68" s="45"/>
      <c r="S68" s="10"/>
      <c r="T68" s="10"/>
      <c r="U68" s="10"/>
      <c r="V68" s="10"/>
      <c r="W68" s="10"/>
      <c r="X68" s="10"/>
      <c r="Y68" s="10"/>
      <c r="Z68" s="10"/>
      <c r="AA68" s="10"/>
      <c r="AB68" s="10"/>
      <c r="AC68" s="10"/>
      <c r="AD68" s="10"/>
      <c r="AE68" s="10"/>
      <c r="AF68" s="10"/>
      <c r="AG68" s="10"/>
      <c r="AH68" s="10"/>
      <c r="AI68" s="10"/>
      <c r="AJ68" s="10"/>
      <c r="AM68" s="21"/>
      <c r="AN68" s="1"/>
      <c r="AP68" s="36"/>
      <c r="AQ68" s="1"/>
      <c r="AR68" s="36"/>
      <c r="AS68" s="36"/>
      <c r="AY68" s="5"/>
      <c r="AZ68" s="5"/>
      <c r="BA68" s="8"/>
    </row>
    <row r="69" spans="1:54">
      <c r="A69" s="32"/>
      <c r="C69" s="23"/>
      <c r="D69" s="23"/>
      <c r="E69" s="23"/>
      <c r="F69" s="28"/>
      <c r="G69" s="23"/>
      <c r="H69" s="23"/>
      <c r="I69" s="28"/>
      <c r="K69" s="1"/>
      <c r="L69" s="1"/>
      <c r="M69" s="1"/>
      <c r="AM69" s="21"/>
      <c r="AN69" s="1"/>
      <c r="AP69" s="24"/>
      <c r="AQ69" s="1"/>
      <c r="AR69" s="36"/>
      <c r="AS69" s="36"/>
      <c r="AY69" s="1"/>
      <c r="AZ69" s="9"/>
      <c r="BA69" s="6"/>
    </row>
    <row r="70" spans="1:54">
      <c r="A70" s="1"/>
      <c r="B70" s="1"/>
      <c r="C70" s="1"/>
      <c r="F70" s="1"/>
      <c r="G70" s="1"/>
      <c r="H70" s="1"/>
      <c r="I70" s="1"/>
      <c r="J70" s="1"/>
      <c r="K70" s="1"/>
      <c r="L70" s="1"/>
      <c r="M70" s="1"/>
    </row>
    <row r="71" spans="1:54">
      <c r="A71" s="1"/>
      <c r="B71" s="1"/>
      <c r="C71" s="39"/>
      <c r="D71" s="56"/>
      <c r="E71" s="40"/>
      <c r="F71" s="39"/>
      <c r="G71" s="56"/>
      <c r="H71" s="40"/>
      <c r="I71" s="39"/>
      <c r="J71" s="56"/>
      <c r="K71" s="39"/>
      <c r="L71" s="56"/>
      <c r="M71" s="40"/>
    </row>
    <row r="72" spans="1:54">
      <c r="A72" s="1"/>
      <c r="B72" s="1"/>
      <c r="C72" s="1"/>
      <c r="D72" s="1"/>
      <c r="E72" s="1"/>
      <c r="F72" s="1"/>
      <c r="G72" s="1"/>
      <c r="H72" s="1"/>
      <c r="I72" s="1"/>
      <c r="J72" s="1"/>
      <c r="K72" s="1"/>
      <c r="L72" s="1"/>
      <c r="M72" s="1"/>
    </row>
    <row r="73" spans="1:54">
      <c r="C73" s="24"/>
      <c r="D73" s="24"/>
      <c r="E73" s="24"/>
      <c r="F73" s="24"/>
      <c r="G73" s="24"/>
      <c r="H73" s="24"/>
      <c r="I73" s="24"/>
      <c r="J73" s="24"/>
      <c r="K73" s="24"/>
      <c r="L73" s="24"/>
      <c r="M73" s="24"/>
    </row>
    <row r="74" spans="1:54">
      <c r="A74" s="22"/>
      <c r="B74" s="22"/>
      <c r="C74" s="22"/>
      <c r="D74" s="38"/>
      <c r="E74" s="22"/>
      <c r="F74" s="22"/>
      <c r="G74" s="28"/>
      <c r="I74" s="22"/>
      <c r="J74" s="38"/>
      <c r="K74" s="22"/>
      <c r="L74" s="38"/>
      <c r="M74" s="1"/>
    </row>
    <row r="75" spans="1:54">
      <c r="A75" s="42"/>
      <c r="C75" s="24"/>
      <c r="D75" s="24"/>
      <c r="E75" s="24"/>
      <c r="F75" s="24"/>
      <c r="G75" s="24"/>
      <c r="H75" s="24"/>
      <c r="I75" s="24"/>
      <c r="J75" s="24"/>
      <c r="K75" s="24"/>
      <c r="L75" s="24"/>
      <c r="M75" s="24"/>
    </row>
    <row r="76" spans="1:54">
      <c r="A76" s="42"/>
      <c r="C76" s="24"/>
      <c r="D76" s="24"/>
      <c r="E76" s="24"/>
      <c r="F76" s="24"/>
      <c r="G76" s="24"/>
      <c r="H76" s="24"/>
      <c r="I76" s="24"/>
      <c r="J76" s="24"/>
      <c r="K76" s="24"/>
      <c r="L76" s="24"/>
      <c r="M76" s="24"/>
    </row>
    <row r="77" spans="1:54">
      <c r="A77" s="34"/>
      <c r="C77" s="24"/>
      <c r="D77" s="24"/>
      <c r="E77" s="24"/>
      <c r="F77" s="24"/>
      <c r="G77" s="24"/>
      <c r="H77" s="24"/>
      <c r="I77" s="24"/>
      <c r="J77" s="24"/>
      <c r="K77" s="24"/>
      <c r="L77" s="24"/>
      <c r="M77" s="24"/>
    </row>
    <row r="78" spans="1:54">
      <c r="A78" s="42"/>
      <c r="C78" s="24"/>
      <c r="D78" s="24"/>
      <c r="E78" s="24"/>
      <c r="F78" s="24"/>
      <c r="G78" s="24"/>
      <c r="H78" s="24"/>
      <c r="I78" s="24"/>
      <c r="J78" s="24"/>
      <c r="K78" s="24"/>
      <c r="L78" s="24"/>
      <c r="M78" s="24"/>
    </row>
    <row r="79" spans="1:54">
      <c r="A79" s="42"/>
      <c r="C79" s="24"/>
    </row>
    <row r="80" spans="1:54">
      <c r="A80" s="42"/>
      <c r="C80" s="24"/>
    </row>
    <row r="81" spans="1:14">
      <c r="A81" s="54"/>
      <c r="B81" s="33"/>
      <c r="C81" s="33"/>
    </row>
    <row r="82" spans="1:14">
      <c r="C82" s="24"/>
    </row>
    <row r="83" spans="1:14">
      <c r="A83" s="5"/>
      <c r="B83" s="1"/>
      <c r="C83" s="1"/>
    </row>
    <row r="85" spans="1:14">
      <c r="A85" s="25"/>
      <c r="B85" s="25"/>
      <c r="C85" s="25"/>
    </row>
    <row r="86" spans="1:14">
      <c r="A86" s="23"/>
      <c r="B86" s="23"/>
      <c r="C86" s="23"/>
    </row>
    <row r="87" spans="1:14">
      <c r="A87" s="32"/>
      <c r="B87" s="32"/>
      <c r="C87" s="32"/>
    </row>
    <row r="88" spans="1:14">
      <c r="A88" s="50"/>
      <c r="B88" s="50"/>
      <c r="C88" s="50"/>
    </row>
    <row r="89" spans="1:14">
      <c r="A89" s="33"/>
      <c r="B89" s="33"/>
      <c r="C89" s="33"/>
      <c r="E89" s="24"/>
      <c r="F89" s="1"/>
      <c r="G89" s="1"/>
      <c r="H89" s="1"/>
      <c r="I89" s="10"/>
      <c r="J89" s="10"/>
      <c r="K89" s="10"/>
      <c r="L89" s="10"/>
      <c r="M89" s="10"/>
    </row>
    <row r="90" spans="1:14">
      <c r="A90" s="33"/>
      <c r="B90" s="33"/>
      <c r="C90" s="33"/>
      <c r="E90" s="24"/>
      <c r="F90" s="1"/>
      <c r="G90" s="1"/>
      <c r="H90" s="1"/>
      <c r="I90" s="10"/>
      <c r="J90" s="10"/>
      <c r="K90" s="10"/>
      <c r="L90" s="10"/>
      <c r="M90" s="10"/>
    </row>
    <row r="91" spans="1:14">
      <c r="A91" s="34"/>
      <c r="B91" s="33"/>
      <c r="C91" s="33"/>
      <c r="E91" s="24"/>
      <c r="F91" s="1"/>
      <c r="G91" s="1"/>
      <c r="H91" s="1"/>
      <c r="I91" s="10"/>
      <c r="J91" s="10"/>
      <c r="K91" s="10"/>
      <c r="L91" s="10"/>
      <c r="M91" s="10"/>
    </row>
    <row r="92" spans="1:14">
      <c r="A92" s="33"/>
      <c r="B92" s="33"/>
      <c r="C92" s="33"/>
      <c r="E92" s="24"/>
      <c r="F92" s="1"/>
      <c r="G92" s="1"/>
      <c r="H92" s="1"/>
      <c r="I92" s="10"/>
      <c r="J92" s="10"/>
      <c r="K92" s="10"/>
      <c r="L92" s="10"/>
      <c r="M92" s="10"/>
    </row>
    <row r="93" spans="1:14">
      <c r="A93" s="54"/>
      <c r="B93" s="33"/>
      <c r="C93" s="33"/>
      <c r="D93" s="33"/>
      <c r="E93" s="33"/>
      <c r="F93" s="33"/>
      <c r="G93" s="33"/>
      <c r="H93" s="33"/>
      <c r="I93" s="33"/>
      <c r="J93" s="33"/>
      <c r="K93" s="33"/>
      <c r="L93" s="33"/>
      <c r="M93" s="33"/>
      <c r="N93" s="33"/>
    </row>
    <row r="98" spans="1:13">
      <c r="A98" s="23"/>
      <c r="B98" s="23"/>
      <c r="C98" s="23"/>
      <c r="D98" s="23"/>
      <c r="E98" s="23"/>
      <c r="F98" s="23"/>
      <c r="G98" s="23"/>
      <c r="H98" s="23"/>
      <c r="I98" s="23"/>
      <c r="J98" s="23"/>
      <c r="K98" s="23"/>
      <c r="L98" s="23"/>
      <c r="M98" s="23"/>
    </row>
    <row r="99" spans="1:13">
      <c r="A99" s="31"/>
      <c r="B99" s="31"/>
      <c r="C99" s="31"/>
      <c r="D99" s="32"/>
      <c r="E99" s="32"/>
      <c r="F99" s="32"/>
      <c r="G99" s="32"/>
      <c r="I99" s="32"/>
      <c r="J99" s="32"/>
      <c r="K99" s="32"/>
      <c r="L99" s="32"/>
      <c r="M99" s="32"/>
    </row>
    <row r="100" spans="1:13">
      <c r="A100" s="31"/>
      <c r="B100" s="31"/>
      <c r="C100" s="31"/>
      <c r="D100" s="23"/>
      <c r="G100" s="23"/>
      <c r="H100" s="23"/>
      <c r="I100" s="23"/>
      <c r="J100" s="32"/>
      <c r="K100" s="32"/>
      <c r="L100" s="23"/>
      <c r="M100" s="23"/>
    </row>
    <row r="101" spans="1:13">
      <c r="A101" s="33"/>
      <c r="B101" s="33"/>
      <c r="C101" s="33"/>
      <c r="D101" s="24"/>
      <c r="E101" s="1"/>
      <c r="F101" s="1"/>
      <c r="G101" s="24"/>
      <c r="H101" s="1"/>
      <c r="I101" s="1"/>
      <c r="J101" s="1"/>
      <c r="K101" s="1"/>
      <c r="L101" s="10"/>
      <c r="M101" s="10"/>
    </row>
    <row r="102" spans="1:13">
      <c r="A102" s="33"/>
      <c r="B102" s="33"/>
      <c r="C102" s="33"/>
      <c r="D102" s="24"/>
      <c r="E102" s="1"/>
      <c r="F102" s="1"/>
      <c r="G102" s="24"/>
      <c r="H102" s="1"/>
      <c r="I102" s="1"/>
      <c r="J102" s="1"/>
      <c r="K102" s="1"/>
      <c r="L102" s="10"/>
      <c r="M102" s="10"/>
    </row>
    <row r="103" spans="1:13">
      <c r="A103" s="33"/>
      <c r="B103" s="33"/>
      <c r="C103" s="33"/>
      <c r="D103" s="24"/>
      <c r="E103" s="1"/>
      <c r="F103" s="1"/>
      <c r="G103" s="24"/>
      <c r="H103" s="1"/>
      <c r="I103" s="1"/>
      <c r="J103" s="1"/>
      <c r="K103" s="1"/>
      <c r="L103" s="10"/>
      <c r="M103" s="10"/>
    </row>
  </sheetData>
  <sheetProtection sheet="1" objects="1" scenarios="1"/>
  <mergeCells count="91">
    <mergeCell ref="B26:O26"/>
    <mergeCell ref="B27:O27"/>
    <mergeCell ref="B32:O32"/>
    <mergeCell ref="G41:J42"/>
    <mergeCell ref="B37:C37"/>
    <mergeCell ref="B3:O4"/>
    <mergeCell ref="O6:O7"/>
    <mergeCell ref="O8:O9"/>
    <mergeCell ref="D8:D9"/>
    <mergeCell ref="N8:N9"/>
    <mergeCell ref="B5:C5"/>
    <mergeCell ref="M8:M9"/>
    <mergeCell ref="M6:M7"/>
    <mergeCell ref="I8:I9"/>
    <mergeCell ref="J8:J9"/>
    <mergeCell ref="H6:H9"/>
    <mergeCell ref="E8:E9"/>
    <mergeCell ref="D6:F7"/>
    <mergeCell ref="B6:C9"/>
    <mergeCell ref="J6:J7"/>
    <mergeCell ref="K6:K7"/>
    <mergeCell ref="B10:O10"/>
    <mergeCell ref="F8:F9"/>
    <mergeCell ref="L8:L9"/>
    <mergeCell ref="B21:O21"/>
    <mergeCell ref="G6:G9"/>
    <mergeCell ref="N6:N7"/>
    <mergeCell ref="B16:O16"/>
    <mergeCell ref="B11:O11"/>
    <mergeCell ref="I6:I7"/>
    <mergeCell ref="L6:L7"/>
    <mergeCell ref="K8:K9"/>
    <mergeCell ref="G43:H43"/>
    <mergeCell ref="G44:H44"/>
    <mergeCell ref="G45:J45"/>
    <mergeCell ref="G46:H46"/>
    <mergeCell ref="G47:H47"/>
    <mergeCell ref="G48:H48"/>
    <mergeCell ref="C62:D62"/>
    <mergeCell ref="G49:H49"/>
    <mergeCell ref="G50:J50"/>
    <mergeCell ref="G51:H51"/>
    <mergeCell ref="G52:H52"/>
    <mergeCell ref="G53:H53"/>
    <mergeCell ref="G54:H54"/>
    <mergeCell ref="E62:F62"/>
    <mergeCell ref="G62:H62"/>
    <mergeCell ref="I62:J62"/>
    <mergeCell ref="G55:H55"/>
    <mergeCell ref="C59:N60"/>
    <mergeCell ref="C61:D61"/>
    <mergeCell ref="E61:F61"/>
    <mergeCell ref="G61:H61"/>
    <mergeCell ref="K62:L62"/>
    <mergeCell ref="M62:N62"/>
    <mergeCell ref="I61:J61"/>
    <mergeCell ref="K61:L61"/>
    <mergeCell ref="K63:L63"/>
    <mergeCell ref="M61:N61"/>
    <mergeCell ref="M63:N63"/>
    <mergeCell ref="K64:L64"/>
    <mergeCell ref="E64:F64"/>
    <mergeCell ref="G64:H64"/>
    <mergeCell ref="C67:D68"/>
    <mergeCell ref="E67:F67"/>
    <mergeCell ref="G67:H67"/>
    <mergeCell ref="C63:D64"/>
    <mergeCell ref="E63:F63"/>
    <mergeCell ref="G63:H63"/>
    <mergeCell ref="I63:J63"/>
    <mergeCell ref="C65:D66"/>
    <mergeCell ref="E65:F65"/>
    <mergeCell ref="G65:H65"/>
    <mergeCell ref="I65:J65"/>
    <mergeCell ref="I64:J64"/>
    <mergeCell ref="M64:N64"/>
    <mergeCell ref="E68:F68"/>
    <mergeCell ref="G68:H68"/>
    <mergeCell ref="I68:J68"/>
    <mergeCell ref="K68:L68"/>
    <mergeCell ref="E66:F66"/>
    <mergeCell ref="G66:H66"/>
    <mergeCell ref="I66:J66"/>
    <mergeCell ref="K66:L66"/>
    <mergeCell ref="M68:N68"/>
    <mergeCell ref="M67:N67"/>
    <mergeCell ref="K65:L65"/>
    <mergeCell ref="M65:N65"/>
    <mergeCell ref="M66:N66"/>
    <mergeCell ref="I67:J67"/>
    <mergeCell ref="K67:L67"/>
  </mergeCells>
  <dataValidations count="1">
    <dataValidation type="list" allowBlank="1" showInputMessage="1" showErrorMessage="1" sqref="AO66 S29 S7" xr:uid="{00000000-0002-0000-0800-000000000000}">
      <formula1>Local</formula1>
    </dataValidation>
  </dataValidations>
  <pageMargins left="0.7" right="0.7" top="0.75" bottom="0.75" header="0.3" footer="0.3"/>
  <pageSetup scale="69" fitToHeight="2" orientation="landscape" r:id="rId1"/>
  <headerFooter>
    <oddHeader>&amp;CUrban and Suburban Arterial Predictive Method</oddHeader>
    <oddFooter>&amp;R&amp;P</oddFooter>
  </headerFooter>
  <rowBreaks count="1" manualBreakCount="1">
    <brk id="39"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Instructions</vt:lpstr>
      <vt:lpstr>Segment 1</vt:lpstr>
      <vt:lpstr>Segment 2</vt:lpstr>
      <vt:lpstr>Segment Tables</vt:lpstr>
      <vt:lpstr>Intersection 1</vt:lpstr>
      <vt:lpstr>Intersection 2</vt:lpstr>
      <vt:lpstr>Intersection Tables</vt:lpstr>
      <vt:lpstr>Urban Site Total</vt:lpstr>
      <vt:lpstr>Urban Project Total</vt:lpstr>
      <vt:lpstr>Construction - do not delete</vt:lpstr>
      <vt:lpstr>CRumble</vt:lpstr>
      <vt:lpstr>Differ</vt:lpstr>
      <vt:lpstr>District</vt:lpstr>
      <vt:lpstr>Division</vt:lpstr>
      <vt:lpstr>IApproach</vt:lpstr>
      <vt:lpstr>ILight</vt:lpstr>
      <vt:lpstr>IntApproach1</vt:lpstr>
      <vt:lpstr>IntApproach2</vt:lpstr>
      <vt:lpstr>IType</vt:lpstr>
      <vt:lpstr>IType2</vt:lpstr>
      <vt:lpstr>LApproach</vt:lpstr>
      <vt:lpstr>Lighting</vt:lpstr>
      <vt:lpstr>Local</vt:lpstr>
      <vt:lpstr>LWidth</vt:lpstr>
      <vt:lpstr>MWidth</vt:lpstr>
      <vt:lpstr>OffsetFO</vt:lpstr>
      <vt:lpstr>OnStreet</vt:lpstr>
      <vt:lpstr>OnStreetType</vt:lpstr>
      <vt:lpstr>Phasing</vt:lpstr>
      <vt:lpstr>Phasing2</vt:lpstr>
      <vt:lpstr>PLane</vt:lpstr>
      <vt:lpstr>PLane2</vt:lpstr>
      <vt:lpstr>Posted</vt:lpstr>
      <vt:lpstr>PresOrNot</vt:lpstr>
      <vt:lpstr>'Intersection 1'!Print_Area</vt:lpstr>
      <vt:lpstr>'Intersection 2'!Print_Area</vt:lpstr>
      <vt:lpstr>'Segment 1'!Print_Area</vt:lpstr>
      <vt:lpstr>'Segment 2'!Print_Area</vt:lpstr>
      <vt:lpstr>'Urban Project Total'!Print_Area</vt:lpstr>
      <vt:lpstr>'Urban Site Total'!Print_Area</vt:lpstr>
      <vt:lpstr>Pspeed</vt:lpstr>
      <vt:lpstr>RApproach</vt:lpstr>
      <vt:lpstr>Region</vt:lpstr>
      <vt:lpstr>RHR</vt:lpstr>
      <vt:lpstr>RType</vt:lpstr>
      <vt:lpstr>Shld2</vt:lpstr>
      <vt:lpstr>SpEnforce</vt:lpstr>
      <vt:lpstr>Spiral</vt:lpstr>
      <vt:lpstr>SSlope</vt:lpstr>
      <vt:lpstr>SType</vt:lpstr>
      <vt:lpstr>SWidth</vt:lpstr>
      <vt:lpstr>TLanes</vt:lpstr>
      <vt:lpstr>TWLTL</vt:lpstr>
      <vt:lpstr>UMedian</vt:lpstr>
      <vt:lpstr>UMedian2</vt:lpstr>
      <vt:lpstr>UMedWidth</vt:lpstr>
      <vt:lpstr>UnsigApproach</vt:lpstr>
      <vt:lpstr>UnsigApproach1</vt:lpstr>
      <vt:lpstr>UnsigApproach2</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Pratt, Mike</cp:lastModifiedBy>
  <cp:lastPrinted>2010-11-22T18:15:00Z</cp:lastPrinted>
  <dcterms:created xsi:type="dcterms:W3CDTF">2009-11-22T21:24:43Z</dcterms:created>
  <dcterms:modified xsi:type="dcterms:W3CDTF">2024-02-28T20:00:47Z</dcterms:modified>
</cp:coreProperties>
</file>