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7083\Implementation\Updated_spreadsheets\Next_release\"/>
    </mc:Choice>
  </mc:AlternateContent>
  <xr:revisionPtr revIDLastSave="0" documentId="13_ncr:1_{58B6EA96-22AF-4750-BECF-3DF3CC6EF3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23" r:id="rId1"/>
    <sheet name="Rural Divided Multilane Seg" sheetId="17" r:id="rId2"/>
    <sheet name="Rural Undivided Multilane Seg" sheetId="15" r:id="rId3"/>
    <sheet name="Segment Tables" sheetId="24" r:id="rId4"/>
    <sheet name="Rural Multilane Intersection" sheetId="18" r:id="rId5"/>
    <sheet name="Intersection Tables" sheetId="25" r:id="rId6"/>
    <sheet name="Rural Multilane Site Total" sheetId="20" r:id="rId7"/>
    <sheet name="Rural Multilane Project Total" sheetId="19" r:id="rId8"/>
    <sheet name="Construction" sheetId="10" r:id="rId9"/>
  </sheets>
  <definedNames>
    <definedName name="CRumble">Construction!$H$17:$H$18</definedName>
    <definedName name="Differ">Construction!$L$29:$L$30</definedName>
    <definedName name="District">Construction!$B$17:$B$42</definedName>
    <definedName name="Division">Construction!$F$37:$F$38</definedName>
    <definedName name="IApproach">Construction!$L$37:$L$39</definedName>
    <definedName name="ILight">Construction!$J$29:$J$30</definedName>
    <definedName name="IType">Construction!$D$29:$D$31</definedName>
    <definedName name="LApproach">Construction!$F$29:$F$33</definedName>
    <definedName name="Lighting">Construction!$H$23:$H$24</definedName>
    <definedName name="Local">Construction!$L$17:$L$18</definedName>
    <definedName name="LWidth">Construction!$B$4:$B$10</definedName>
    <definedName name="MWidth">Construction!$D$37:$D$46</definedName>
    <definedName name="Not_Present">#REF!</definedName>
    <definedName name="PLane">Construction!$J$17:$J$18</definedName>
    <definedName name="PLane2">Construction!$J$17:$J$19</definedName>
    <definedName name="RApproach">Construction!$H$29:$H$33</definedName>
    <definedName name="Region">Construction!$H$4:$H$8</definedName>
    <definedName name="RHR">Construction!$F$4:$F$10</definedName>
    <definedName name="RtApproach">Construction!$N$37:$N$39</definedName>
    <definedName name="Shld2">Construction!$J$37:$J$47</definedName>
    <definedName name="Shld3">Construction!$P$37:$P$45</definedName>
    <definedName name="SpEnforce">Construction!$J$23:$J$24</definedName>
    <definedName name="Spiral">Construction!$F$17:$F$18</definedName>
    <definedName name="SSlope">Construction!$H$37:$H$42</definedName>
    <definedName name="SSlope2">Construction!$H$37:$H$42</definedName>
    <definedName name="SType">Construction!$D$17:$D$20</definedName>
    <definedName name="SWidth">Construction!$D$4:$D$12</definedName>
    <definedName name="TWLTL">Construction!$F$23:$F$24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9" i="10" l="1"/>
  <c r="A16" i="18"/>
  <c r="A15" i="18"/>
  <c r="L50" i="10" l="1"/>
  <c r="L39" i="10"/>
  <c r="G30" i="20" l="1"/>
  <c r="D29" i="20"/>
  <c r="D28" i="20"/>
  <c r="D27" i="20"/>
  <c r="D26" i="20"/>
  <c r="D25" i="20"/>
  <c r="D24" i="20"/>
  <c r="D23" i="20"/>
  <c r="D20" i="20"/>
  <c r="D19" i="20"/>
  <c r="D18" i="20"/>
  <c r="D17" i="20"/>
  <c r="D16" i="20"/>
  <c r="D15" i="20"/>
  <c r="D14" i="20"/>
  <c r="D13" i="20"/>
  <c r="A28" i="15" l="1"/>
  <c r="A28" i="17"/>
  <c r="C28" i="15"/>
  <c r="V6" i="15"/>
  <c r="V4" i="15"/>
  <c r="O11" i="15" l="1"/>
  <c r="J29" i="20" l="1"/>
  <c r="J28" i="20"/>
  <c r="J27" i="20"/>
  <c r="J26" i="20"/>
  <c r="J25" i="20"/>
  <c r="J24" i="20"/>
  <c r="J23" i="20"/>
  <c r="J20" i="20"/>
  <c r="J19" i="20"/>
  <c r="J18" i="20"/>
  <c r="J17" i="20"/>
  <c r="J16" i="20"/>
  <c r="H13" i="20"/>
  <c r="H14" i="20"/>
  <c r="D27" i="19" l="1"/>
  <c r="D26" i="19"/>
  <c r="D25" i="19"/>
  <c r="D24" i="19"/>
  <c r="D23" i="19"/>
  <c r="D22" i="19"/>
  <c r="D21" i="19"/>
  <c r="D18" i="19"/>
  <c r="D17" i="19"/>
  <c r="D16" i="19"/>
  <c r="D15" i="19"/>
  <c r="D14" i="19"/>
  <c r="D13" i="19"/>
  <c r="J27" i="19" l="1"/>
  <c r="I27" i="19"/>
  <c r="J26" i="19"/>
  <c r="I26" i="19"/>
  <c r="J25" i="19"/>
  <c r="I25" i="19"/>
  <c r="J24" i="19"/>
  <c r="I24" i="19"/>
  <c r="J23" i="19"/>
  <c r="I23" i="19"/>
  <c r="J22" i="19"/>
  <c r="I22" i="19"/>
  <c r="J21" i="19"/>
  <c r="I21" i="19"/>
  <c r="J18" i="19"/>
  <c r="I18" i="19"/>
  <c r="J17" i="19"/>
  <c r="I17" i="19"/>
  <c r="J16" i="19"/>
  <c r="I16" i="19"/>
  <c r="J15" i="19"/>
  <c r="I15" i="19"/>
  <c r="J14" i="19"/>
  <c r="I14" i="19"/>
  <c r="J13" i="19"/>
  <c r="I13" i="19"/>
  <c r="K38" i="18" l="1"/>
  <c r="K37" i="18"/>
  <c r="K36" i="18"/>
  <c r="L39" i="15"/>
  <c r="L38" i="15"/>
  <c r="L37" i="15"/>
  <c r="L38" i="17"/>
  <c r="L39" i="17"/>
  <c r="L37" i="17"/>
  <c r="D6" i="18" l="1"/>
  <c r="J60" i="17" l="1"/>
  <c r="J59" i="17"/>
  <c r="J58" i="17"/>
  <c r="J57" i="17"/>
  <c r="J56" i="17"/>
  <c r="J55" i="17"/>
  <c r="J53" i="17"/>
  <c r="I60" i="17"/>
  <c r="I59" i="17"/>
  <c r="I58" i="17"/>
  <c r="I57" i="17"/>
  <c r="I56" i="17"/>
  <c r="I55" i="17"/>
  <c r="I53" i="17"/>
  <c r="I53" i="15"/>
  <c r="I60" i="15"/>
  <c r="I59" i="15"/>
  <c r="I58" i="15"/>
  <c r="I57" i="15"/>
  <c r="I56" i="15"/>
  <c r="I55" i="15"/>
  <c r="J60" i="15"/>
  <c r="J59" i="15"/>
  <c r="J58" i="15"/>
  <c r="J57" i="15"/>
  <c r="J56" i="15"/>
  <c r="J55" i="15"/>
  <c r="J53" i="15"/>
  <c r="H37" i="17"/>
  <c r="H39" i="17" s="1"/>
  <c r="E39" i="17"/>
  <c r="D39" i="17"/>
  <c r="C39" i="17"/>
  <c r="E38" i="17"/>
  <c r="D38" i="17"/>
  <c r="C38" i="17"/>
  <c r="E37" i="17"/>
  <c r="D37" i="17"/>
  <c r="C37" i="17"/>
  <c r="F37" i="17" s="1"/>
  <c r="D39" i="15"/>
  <c r="E39" i="15"/>
  <c r="C39" i="15"/>
  <c r="E38" i="15"/>
  <c r="D38" i="15"/>
  <c r="C38" i="15"/>
  <c r="E37" i="15"/>
  <c r="H37" i="15" s="1"/>
  <c r="H39" i="15" s="1"/>
  <c r="D37" i="15"/>
  <c r="C37" i="15"/>
  <c r="F37" i="15" l="1"/>
  <c r="H38" i="15"/>
  <c r="H38" i="17"/>
  <c r="F39" i="17"/>
  <c r="R22" i="25"/>
  <c r="R23" i="25" s="1"/>
  <c r="R24" i="25" s="1"/>
  <c r="Q22" i="25"/>
  <c r="P24" i="25"/>
  <c r="P23" i="25"/>
  <c r="P22" i="25"/>
  <c r="D35" i="18"/>
  <c r="D37" i="18" s="1"/>
  <c r="C38" i="18"/>
  <c r="C37" i="18"/>
  <c r="E35" i="18"/>
  <c r="E38" i="18" s="1"/>
  <c r="C36" i="18"/>
  <c r="H38" i="18"/>
  <c r="H37" i="18"/>
  <c r="H36" i="18"/>
  <c r="H20" i="19" s="1"/>
  <c r="E78" i="24"/>
  <c r="E79" i="24" s="1"/>
  <c r="E80" i="24" s="1"/>
  <c r="G78" i="24"/>
  <c r="E6" i="15"/>
  <c r="E6" i="17"/>
  <c r="N9" i="18"/>
  <c r="E11" i="18"/>
  <c r="N11" i="18" s="1"/>
  <c r="E10" i="18"/>
  <c r="N10" i="18" s="1"/>
  <c r="O11" i="17"/>
  <c r="V15" i="17"/>
  <c r="T15" i="17"/>
  <c r="U14" i="17"/>
  <c r="U15" i="17" s="1"/>
  <c r="V13" i="17"/>
  <c r="T13" i="17"/>
  <c r="U12" i="17"/>
  <c r="V11" i="17"/>
  <c r="T11" i="17"/>
  <c r="U10" i="17"/>
  <c r="J27" i="18"/>
  <c r="J26" i="18"/>
  <c r="H27" i="18"/>
  <c r="H26" i="18"/>
  <c r="F27" i="18"/>
  <c r="F26" i="18"/>
  <c r="C26" i="18"/>
  <c r="C27" i="18"/>
  <c r="U42" i="15"/>
  <c r="U41" i="15" s="1"/>
  <c r="U38" i="15"/>
  <c r="U39" i="15" s="1"/>
  <c r="U36" i="15"/>
  <c r="U34" i="15"/>
  <c r="U21" i="15"/>
  <c r="U22" i="15" s="1"/>
  <c r="U19" i="15"/>
  <c r="T35" i="15"/>
  <c r="V35" i="15"/>
  <c r="T37" i="15"/>
  <c r="V37" i="15"/>
  <c r="T39" i="15"/>
  <c r="V39" i="15"/>
  <c r="T41" i="15"/>
  <c r="V41" i="15"/>
  <c r="U17" i="15"/>
  <c r="T18" i="15"/>
  <c r="V18" i="15"/>
  <c r="T20" i="15"/>
  <c r="V20" i="15"/>
  <c r="T22" i="15"/>
  <c r="V22" i="15"/>
  <c r="F28" i="15"/>
  <c r="C28" i="17"/>
  <c r="K51" i="18"/>
  <c r="I51" i="18"/>
  <c r="F51" i="18"/>
  <c r="C51" i="18"/>
  <c r="U10" i="24"/>
  <c r="W10" i="24"/>
  <c r="Y10" i="24"/>
  <c r="U11" i="24"/>
  <c r="W11" i="24"/>
  <c r="Y11" i="24"/>
  <c r="U12" i="24"/>
  <c r="W12" i="24"/>
  <c r="Y12" i="24"/>
  <c r="U13" i="24"/>
  <c r="W13" i="24"/>
  <c r="Y13" i="24"/>
  <c r="AE11" i="24"/>
  <c r="AE13" i="24"/>
  <c r="AE15" i="24"/>
  <c r="AE17" i="24"/>
  <c r="I29" i="20"/>
  <c r="I28" i="20"/>
  <c r="I27" i="20"/>
  <c r="I26" i="20"/>
  <c r="I25" i="20"/>
  <c r="I24" i="20"/>
  <c r="I23" i="20"/>
  <c r="I20" i="20"/>
  <c r="I19" i="20"/>
  <c r="I18" i="20"/>
  <c r="I17" i="20"/>
  <c r="I16" i="20"/>
  <c r="I15" i="20"/>
  <c r="J15" i="20" s="1"/>
  <c r="K53" i="18"/>
  <c r="K58" i="18"/>
  <c r="K57" i="18"/>
  <c r="K56" i="18"/>
  <c r="K55" i="18"/>
  <c r="K54" i="18"/>
  <c r="I58" i="18"/>
  <c r="I57" i="18"/>
  <c r="I56" i="18"/>
  <c r="I55" i="18"/>
  <c r="I54" i="18"/>
  <c r="I53" i="18"/>
  <c r="F58" i="18"/>
  <c r="F57" i="18"/>
  <c r="F56" i="18"/>
  <c r="F55" i="18"/>
  <c r="F54" i="18"/>
  <c r="F53" i="18"/>
  <c r="C58" i="18"/>
  <c r="C57" i="18"/>
  <c r="C56" i="18"/>
  <c r="C55" i="18"/>
  <c r="C54" i="18"/>
  <c r="C53" i="18"/>
  <c r="J28" i="17"/>
  <c r="F28" i="17"/>
  <c r="I71" i="17"/>
  <c r="I70" i="17"/>
  <c r="I69" i="17"/>
  <c r="I68" i="17"/>
  <c r="L60" i="17"/>
  <c r="F60" i="17"/>
  <c r="C60" i="17"/>
  <c r="L59" i="17"/>
  <c r="F59" i="17"/>
  <c r="C59" i="17"/>
  <c r="L58" i="17"/>
  <c r="F58" i="17"/>
  <c r="C58" i="17"/>
  <c r="L57" i="17"/>
  <c r="F57" i="17"/>
  <c r="C57" i="17"/>
  <c r="L56" i="17"/>
  <c r="F56" i="17"/>
  <c r="C56" i="17"/>
  <c r="L55" i="17"/>
  <c r="F55" i="17"/>
  <c r="C55" i="17"/>
  <c r="L53" i="17"/>
  <c r="F53" i="17"/>
  <c r="C53" i="17"/>
  <c r="H28" i="17"/>
  <c r="I71" i="15"/>
  <c r="I70" i="15"/>
  <c r="I69" i="15"/>
  <c r="I68" i="15"/>
  <c r="L60" i="15"/>
  <c r="L59" i="15"/>
  <c r="L58" i="15"/>
  <c r="L57" i="15"/>
  <c r="L56" i="15"/>
  <c r="L55" i="15"/>
  <c r="F60" i="15"/>
  <c r="F59" i="15"/>
  <c r="F58" i="15"/>
  <c r="F57" i="15"/>
  <c r="F56" i="15"/>
  <c r="F55" i="15"/>
  <c r="C60" i="15"/>
  <c r="C59" i="15"/>
  <c r="C58" i="15"/>
  <c r="C57" i="15"/>
  <c r="C56" i="15"/>
  <c r="C55" i="15"/>
  <c r="L53" i="15"/>
  <c r="F53" i="15"/>
  <c r="C53" i="15"/>
  <c r="J28" i="15"/>
  <c r="H28" i="15"/>
  <c r="U35" i="15" l="1"/>
  <c r="M28" i="15"/>
  <c r="F38" i="17"/>
  <c r="Q23" i="25"/>
  <c r="Q24" i="25" s="1"/>
  <c r="E36" i="18"/>
  <c r="E37" i="18"/>
  <c r="D38" i="18"/>
  <c r="D36" i="18"/>
  <c r="H22" i="20"/>
  <c r="L26" i="18"/>
  <c r="J36" i="18" s="1"/>
  <c r="L27" i="18"/>
  <c r="J37" i="18" s="1"/>
  <c r="H12" i="19"/>
  <c r="G79" i="24"/>
  <c r="G80" i="24" s="1"/>
  <c r="U18" i="15"/>
  <c r="U11" i="17"/>
  <c r="M28" i="17"/>
  <c r="H11" i="19"/>
  <c r="U13" i="17"/>
  <c r="U37" i="15"/>
  <c r="U20" i="15"/>
  <c r="F36" i="18" l="1"/>
  <c r="J37" i="15"/>
  <c r="M37" i="15" s="1"/>
  <c r="D68" i="15" s="1"/>
  <c r="J39" i="15"/>
  <c r="J37" i="17"/>
  <c r="M37" i="17" s="1"/>
  <c r="J39" i="17"/>
  <c r="M39" i="17" s="1"/>
  <c r="J38" i="17"/>
  <c r="M38" i="17" s="1"/>
  <c r="G53" i="17" s="1"/>
  <c r="F38" i="15"/>
  <c r="F39" i="15"/>
  <c r="J38" i="18"/>
  <c r="J38" i="15"/>
  <c r="M39" i="15" l="1"/>
  <c r="D70" i="15" s="1"/>
  <c r="L70" i="15" s="1"/>
  <c r="M41" i="17"/>
  <c r="D71" i="17" s="1"/>
  <c r="F13" i="20" s="1"/>
  <c r="M38" i="15"/>
  <c r="D69" i="15" s="1"/>
  <c r="L36" i="18"/>
  <c r="G67" i="18" s="1"/>
  <c r="D20" i="19" s="1"/>
  <c r="F38" i="18"/>
  <c r="L38" i="18" s="1"/>
  <c r="F37" i="18"/>
  <c r="L37" i="18" s="1"/>
  <c r="G68" i="18" s="1"/>
  <c r="D69" i="17"/>
  <c r="D53" i="15"/>
  <c r="D56" i="15" s="1"/>
  <c r="D53" i="17"/>
  <c r="D58" i="17" s="1"/>
  <c r="D68" i="17"/>
  <c r="L68" i="17" s="1"/>
  <c r="D70" i="17"/>
  <c r="L70" i="17" s="1"/>
  <c r="L68" i="15"/>
  <c r="D12" i="19"/>
  <c r="G56" i="17"/>
  <c r="G60" i="17"/>
  <c r="G55" i="17"/>
  <c r="G58" i="17"/>
  <c r="G57" i="17"/>
  <c r="G59" i="17"/>
  <c r="E20" i="19" l="1"/>
  <c r="E22" i="20"/>
  <c r="E12" i="19"/>
  <c r="E14" i="20"/>
  <c r="E11" i="19"/>
  <c r="E13" i="20"/>
  <c r="M53" i="17"/>
  <c r="M55" i="17" s="1"/>
  <c r="G53" i="15"/>
  <c r="G56" i="15" s="1"/>
  <c r="M41" i="15"/>
  <c r="M53" i="15" s="1"/>
  <c r="M57" i="15" s="1"/>
  <c r="L69" i="15"/>
  <c r="G51" i="18"/>
  <c r="G57" i="18" s="1"/>
  <c r="G69" i="18"/>
  <c r="J51" i="18"/>
  <c r="J55" i="18" s="1"/>
  <c r="D51" i="18"/>
  <c r="D58" i="18" s="1"/>
  <c r="L40" i="18"/>
  <c r="L51" i="18" s="1"/>
  <c r="L56" i="18" s="1"/>
  <c r="L69" i="17"/>
  <c r="D59" i="15"/>
  <c r="D58" i="15"/>
  <c r="D57" i="15"/>
  <c r="D60" i="15"/>
  <c r="D55" i="15"/>
  <c r="D57" i="17"/>
  <c r="D11" i="19"/>
  <c r="D28" i="19" s="1"/>
  <c r="E39" i="19" s="1"/>
  <c r="D60" i="17"/>
  <c r="D55" i="17"/>
  <c r="D59" i="17"/>
  <c r="D56" i="17"/>
  <c r="I12" i="19"/>
  <c r="J12" i="19"/>
  <c r="F11" i="19"/>
  <c r="L71" i="17"/>
  <c r="I20" i="19"/>
  <c r="J20" i="19"/>
  <c r="E30" i="20" l="1"/>
  <c r="E41" i="20" s="1"/>
  <c r="E28" i="19"/>
  <c r="E41" i="19" s="1"/>
  <c r="I13" i="20"/>
  <c r="J13" i="20" s="1"/>
  <c r="M58" i="17"/>
  <c r="M56" i="15"/>
  <c r="M60" i="17"/>
  <c r="M57" i="17"/>
  <c r="M59" i="17"/>
  <c r="M56" i="17"/>
  <c r="M60" i="15"/>
  <c r="M59" i="15"/>
  <c r="M58" i="15"/>
  <c r="D71" i="15"/>
  <c r="M55" i="15"/>
  <c r="G59" i="15"/>
  <c r="G55" i="15"/>
  <c r="G58" i="15"/>
  <c r="G57" i="15"/>
  <c r="G60" i="15"/>
  <c r="D54" i="18"/>
  <c r="D57" i="18"/>
  <c r="L55" i="18"/>
  <c r="J58" i="18"/>
  <c r="G56" i="18"/>
  <c r="J57" i="18"/>
  <c r="G55" i="18"/>
  <c r="G53" i="18"/>
  <c r="J54" i="18"/>
  <c r="G54" i="18"/>
  <c r="G58" i="18"/>
  <c r="L57" i="18"/>
  <c r="G70" i="18"/>
  <c r="L58" i="18"/>
  <c r="J53" i="18"/>
  <c r="L53" i="18"/>
  <c r="D55" i="18"/>
  <c r="L54" i="18"/>
  <c r="D56" i="18"/>
  <c r="D53" i="18"/>
  <c r="J56" i="18"/>
  <c r="J11" i="19"/>
  <c r="J28" i="19" s="1"/>
  <c r="M28" i="19" s="1"/>
  <c r="N28" i="19" s="1"/>
  <c r="I11" i="19"/>
  <c r="I28" i="19" s="1"/>
  <c r="K28" i="19" s="1"/>
  <c r="L28" i="19" s="1"/>
  <c r="F20" i="19" l="1"/>
  <c r="F22" i="20"/>
  <c r="F12" i="19"/>
  <c r="F14" i="20"/>
  <c r="L71" i="15"/>
  <c r="O28" i="19"/>
  <c r="F30" i="20" l="1"/>
  <c r="E43" i="20" s="1"/>
  <c r="D22" i="20"/>
  <c r="D30" i="20" s="1"/>
  <c r="E39" i="20" s="1"/>
  <c r="F28" i="19"/>
  <c r="E43" i="19" s="1"/>
  <c r="I14" i="20"/>
  <c r="J14" i="20" s="1"/>
  <c r="H39" i="19"/>
  <c r="H41" i="19"/>
  <c r="H43" i="19" l="1"/>
  <c r="I22" i="20"/>
  <c r="J22" i="20" s="1"/>
  <c r="J30" i="20" s="1"/>
  <c r="H41" i="20" l="1"/>
  <c r="H39" i="20"/>
  <c r="H43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Pratt, Mike</author>
  </authors>
  <commentList>
    <comment ref="K54" authorId="0" shapeId="0" xr:uid="{7D3AA91A-7B55-46E5-9CAC-17A85B3CF1A0}">
      <text>
        <r>
          <rPr>
            <sz val="9"/>
            <color indexed="81"/>
            <rFont val="Tahoma"/>
            <family val="2"/>
          </rPr>
          <t>This is an example comment.  Some of the cells in the worksheets contain comments like this one.  Put the mouse cursor on the red rectangle to view the comments.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Pratt, Mike</author>
  </authors>
  <commentList>
    <comment ref="A11" authorId="0" shapeId="0" xr:uid="{3688DAB5-6880-4406-9353-6BB3B5503399}">
      <text>
        <r>
          <rPr>
            <sz val="9"/>
            <color indexed="81"/>
            <rFont val="Tahoma"/>
            <family val="2"/>
          </rPr>
          <t>Texas AADT data are available from the TxDOT Statewide Planning Map:
https://www.txdot.gov/apps/statewide_mapping/StatewidePlanningMap.html
Click the link to the right to access the site.</t>
        </r>
      </text>
    </comment>
    <comment ref="A13" authorId="0" shapeId="0" xr:uid="{32B4B4B0-A779-4FC0-9333-22F9B983C3B5}">
      <text>
        <r>
          <rPr>
            <sz val="9"/>
            <color indexed="81"/>
            <rFont val="Tahoma"/>
            <family val="2"/>
          </rPr>
          <t>If the lane width is greater than 12, input 12.  If the lane width is less than 9, input 9.</t>
        </r>
      </text>
    </comment>
    <comment ref="A14" authorId="0" shapeId="0" xr:uid="{99AD2841-1838-46D8-A2ED-BE88F0CEAEFF}">
      <text>
        <r>
          <rPr>
            <sz val="9"/>
            <color indexed="81"/>
            <rFont val="Tahoma"/>
            <family val="2"/>
          </rPr>
          <t>If the shoulder width is greater than 10, input 10.</t>
        </r>
      </text>
    </comment>
    <comment ref="A19" authorId="0" shapeId="0" xr:uid="{D10389DD-4DDD-4253-BA31-6C75D748D667}">
      <text>
        <r>
          <rPr>
            <sz val="9"/>
            <color indexed="81"/>
            <rFont val="Tahoma"/>
            <family val="2"/>
          </rPr>
          <t>The models in this worksheet were calibrated using Texas data in TxDOT Research Project 0-7083.  This value should be set to 1.0 unless an additional data analysis is conducted to capture temporal trends in the years following the completion of that project.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Pratt, Mike</author>
  </authors>
  <commentList>
    <comment ref="A11" authorId="0" shapeId="0" xr:uid="{0327740B-1828-41AA-8AF4-15A168265018}">
      <text>
        <r>
          <rPr>
            <sz val="9"/>
            <color indexed="81"/>
            <rFont val="Tahoma"/>
            <family val="2"/>
          </rPr>
          <t>Texas AADT data are available from the TxDOT Statewide Planning Map:
https://www.txdot.gov/apps/statewide_mapping/StatewidePlanningMap.html
Click the link to the right to access the site.</t>
        </r>
      </text>
    </comment>
    <comment ref="A13" authorId="0" shapeId="0" xr:uid="{7519C779-4180-4624-B28E-5B6F8AEA35C2}">
      <text>
        <r>
          <rPr>
            <sz val="9"/>
            <color indexed="81"/>
            <rFont val="Tahoma"/>
            <family val="2"/>
          </rPr>
          <t>If the lane width is greater than 12, input 12.  If the lane width is less than 9, input 9.</t>
        </r>
      </text>
    </comment>
    <comment ref="A14" authorId="0" shapeId="0" xr:uid="{773E8F0A-BEA2-4CC4-9A44-7CB1762D79FE}">
      <text>
        <r>
          <rPr>
            <sz val="9"/>
            <color indexed="81"/>
            <rFont val="Tahoma"/>
            <family val="2"/>
          </rPr>
          <t>If the shoulder width is greater than 8, input 8.</t>
        </r>
      </text>
    </comment>
    <comment ref="A19" authorId="0" shapeId="0" xr:uid="{581DEA9C-CFC2-4B85-B5E2-75562B33A643}">
      <text>
        <r>
          <rPr>
            <sz val="9"/>
            <color indexed="81"/>
            <rFont val="Tahoma"/>
            <family val="2"/>
          </rPr>
          <t>The models in this worksheet were calibrated using Texas data in TxDOT Research Project 0-7083.  This value should be set to 1.0 unless an additional data analysis is conducted to capture temporal trends in the years following the completion of that project.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Pratt, Mike</author>
  </authors>
  <commentList>
    <comment ref="B7" authorId="0" shapeId="0" xr:uid="{950502F4-C076-4D0E-AABA-9AC5FF526635}">
      <text>
        <r>
          <rPr>
            <sz val="9"/>
            <color indexed="81"/>
            <rFont val="Tahoma"/>
            <family val="2"/>
          </rPr>
          <t>Select "Yes" to use values derived from an analysis of local crash data.  Select "No" to use unadjusted values from the Highway Safety Manual.</t>
        </r>
      </text>
    </comment>
    <comment ref="B24" authorId="0" shapeId="0" xr:uid="{D6126D88-B9E7-4D0A-A6A4-691B0C42B7EC}">
      <text>
        <r>
          <rPr>
            <sz val="9"/>
            <color indexed="81"/>
            <rFont val="Tahoma"/>
            <family val="2"/>
          </rPr>
          <t>Select "Yes" to use values derived from an analysis of local crash data.  Select "No" to use unadjusted values from the Highway Safety Manual.</t>
        </r>
      </text>
    </comment>
    <comment ref="B41" authorId="0" shapeId="0" xr:uid="{61DC1042-E6AF-458A-B1DA-F1804EAB57D3}">
      <text>
        <r>
          <rPr>
            <sz val="9"/>
            <color indexed="81"/>
            <rFont val="Tahoma"/>
            <family val="2"/>
          </rPr>
          <t>Select "Yes" to use values derived from an analysis of local crash data.  Select "No" to use unadjusted values from the Highway Safety Manual.</t>
        </r>
      </text>
    </comment>
    <comment ref="B53" authorId="0" shapeId="0" xr:uid="{1C211974-7E3C-4493-9EAA-BA144D25B69C}">
      <text>
        <r>
          <rPr>
            <sz val="9"/>
            <color indexed="81"/>
            <rFont val="Tahoma"/>
            <family val="2"/>
          </rPr>
          <t>Select "Yes" to use values derived from an analysis of local crash data.  Select "No" to use unadjusted values from the Highway Safety Manual.</t>
        </r>
      </text>
    </comment>
    <comment ref="B62" authorId="0" shapeId="0" xr:uid="{046809EA-B1C3-44C3-A1EF-5F3E6C282FFF}">
      <text>
        <r>
          <rPr>
            <sz val="9"/>
            <color indexed="81"/>
            <rFont val="Tahoma"/>
            <family val="2"/>
          </rPr>
          <t>Select "Yes" to use values derived from an analysis of local crash data.  Select "No" to use unadjusted values from the Highway Safety Manual.</t>
        </r>
      </text>
    </comment>
    <comment ref="H62" authorId="0" shapeId="0" xr:uid="{F7CF396B-0F91-43BC-B021-AE091B15734C}">
      <text>
        <r>
          <rPr>
            <sz val="9"/>
            <color indexed="81"/>
            <rFont val="Tahoma"/>
            <family val="2"/>
          </rPr>
          <t>Select "Yes" to use values derived from an analysis of local crash data.  Select "No" to use unadjusted values from the Highway Safety Manual.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Pratt, Mike</author>
  </authors>
  <commentList>
    <comment ref="A10" authorId="0" shapeId="0" xr:uid="{B3693154-7FB6-446C-9F7B-D121B009E8BA}">
      <text>
        <r>
          <rPr>
            <sz val="9"/>
            <color indexed="81"/>
            <rFont val="Tahoma"/>
            <family val="2"/>
          </rPr>
          <t>Texas AADT data are available from the TxDOT Statewide Planning Map:
https://www.txdot.gov/apps/statewide_mapping/StatewidePlanningMap.html
Click the link to the right to access the site.</t>
        </r>
      </text>
    </comment>
    <comment ref="A14" authorId="0" shapeId="0" xr:uid="{0E8ACC93-7A75-458C-8D39-6C160466E0C7}">
      <text>
        <r>
          <rPr>
            <sz val="9"/>
            <color indexed="81"/>
            <rFont val="Tahoma"/>
            <family val="2"/>
          </rPr>
          <t>Intersection skew angle is defined as the absolute value of the deviation from an intersection angle of 90 degrees.  See diagram to the right.</t>
        </r>
      </text>
    </comment>
    <comment ref="A18" authorId="0" shapeId="0" xr:uid="{2B37D7A2-2B6E-4DC9-A894-4E8F4C7B5B4D}">
      <text>
        <r>
          <rPr>
            <sz val="9"/>
            <color indexed="81"/>
            <rFont val="Tahoma"/>
            <family val="2"/>
          </rPr>
          <t>The models in this worksheet were calibrated using Texas data in TxDOT Research Project 0-7083.  This value should be set to 1.0 unless an additional data analysis is conducted to capture temporal trends in the years following the completion of that project.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Pratt, Mike</author>
  </authors>
  <commentList>
    <comment ref="B5" authorId="0" shapeId="0" xr:uid="{F342190B-56F4-45B6-B195-4A99177C05EA}">
      <text>
        <r>
          <rPr>
            <sz val="9"/>
            <color indexed="81"/>
            <rFont val="Tahoma"/>
            <family val="2"/>
          </rPr>
          <t>Select "Yes" to use values derived from an analysis of local crash data.  Select "No" to use unadjusted values from the Highway Safety Manual.</t>
        </r>
      </text>
    </comment>
    <comment ref="B18" authorId="0" shapeId="0" xr:uid="{48744E4E-14AA-4380-B5FE-DFB384582086}">
      <text>
        <r>
          <rPr>
            <sz val="9"/>
            <color indexed="81"/>
            <rFont val="Tahoma"/>
            <family val="2"/>
          </rPr>
          <t>Select "Yes" to use values derived from an analysis of local crash data.  Select "No" to use unadjusted values from the Highway Safety Manual.</t>
        </r>
      </text>
    </comment>
    <comment ref="B51" authorId="0" shapeId="0" xr:uid="{8563E0D8-EEEF-4CFC-941B-649F3A4C16CD}">
      <text>
        <r>
          <rPr>
            <sz val="9"/>
            <color indexed="81"/>
            <rFont val="Tahoma"/>
            <family val="2"/>
          </rPr>
          <t>Select "Yes" to use values derived from an analysis of local crash data.  Select "No" to use unadjusted values from the Highway Safety Manual.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Pratt, Mike</author>
  </authors>
  <commentList>
    <comment ref="G9" authorId="0" shapeId="0" xr:uid="{9A1898CA-2FF3-4A0A-B43E-8EA8AE34C6CA}">
      <text>
        <r>
          <rPr>
            <sz val="9"/>
            <color indexed="81"/>
            <rFont val="Tahoma"/>
            <family val="2"/>
          </rPr>
          <t>Enter a value for every segment and intersection to apply the empirical Bayes method.  Leave this entire column blank to tabulate crash frequencies without applying the empirical Bayes method.</t>
        </r>
      </text>
    </comment>
  </commentList>
</comments>
</file>

<file path=xl/sharedStrings.xml><?xml version="1.0" encoding="utf-8"?>
<sst xmlns="http://schemas.openxmlformats.org/spreadsheetml/2006/main" count="1346" uniqueCount="579">
  <si>
    <t>General Information</t>
  </si>
  <si>
    <t>Analyst</t>
  </si>
  <si>
    <t>Agency or Company</t>
  </si>
  <si>
    <t>Date Performed</t>
  </si>
  <si>
    <t>Input Data</t>
  </si>
  <si>
    <t>Length of segment, L (mi)</t>
  </si>
  <si>
    <t>AADT (veh/day)</t>
  </si>
  <si>
    <t>Lane width (ft)</t>
  </si>
  <si>
    <t>Shoulder width (ft)</t>
  </si>
  <si>
    <t>Location Information</t>
  </si>
  <si>
    <t>Roadway</t>
  </si>
  <si>
    <t>Roadway Section</t>
  </si>
  <si>
    <t>Jurisdiction</t>
  </si>
  <si>
    <t>Analysis Year</t>
  </si>
  <si>
    <t>Base Conditions</t>
  </si>
  <si>
    <t>--</t>
  </si>
  <si>
    <t>Site Conditions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</si>
  <si>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</si>
  <si>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</si>
  <si>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</si>
  <si>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</si>
  <si>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</si>
  <si>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</si>
  <si>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</si>
  <si>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</si>
  <si>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</si>
  <si>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</si>
  <si>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</si>
  <si>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</si>
  <si>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</si>
  <si>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CMF for Lane Width</t>
  </si>
  <si>
    <t>CMF for Lighting</t>
  </si>
  <si>
    <t>CMF for Automated Speed Enforcement</t>
  </si>
  <si>
    <t>CMF comb</t>
  </si>
  <si>
    <t>Crash Severity Level</t>
  </si>
  <si>
    <t>Overdispersion Parameter, k</t>
  </si>
  <si>
    <t>Combined CMFs</t>
  </si>
  <si>
    <t>Total</t>
  </si>
  <si>
    <t>Fatal and Injury (FI)</t>
  </si>
  <si>
    <t>Property Damage Only (PDO)</t>
  </si>
  <si>
    <t>Collision Type</t>
  </si>
  <si>
    <r>
      <t>Proportion of Collision Type</t>
    </r>
    <r>
      <rPr>
        <b/>
        <sz val="6"/>
        <rFont val="Arial"/>
        <family val="2"/>
      </rPr>
      <t>(FI)</t>
    </r>
  </si>
  <si>
    <r>
      <t>Proportion of Collision Type</t>
    </r>
    <r>
      <rPr>
        <b/>
        <sz val="6"/>
        <rFont val="Arial"/>
        <family val="2"/>
      </rPr>
      <t>(TOTAL)</t>
    </r>
  </si>
  <si>
    <t>Angle collision</t>
  </si>
  <si>
    <t>Head-on collision</t>
  </si>
  <si>
    <t>Rear-end collision</t>
  </si>
  <si>
    <t>Sideswipe collision</t>
  </si>
  <si>
    <t>Crash severity level</t>
  </si>
  <si>
    <t>Predicted average crash frequency (crashes/year)</t>
  </si>
  <si>
    <t>Roadway segment length (mi)</t>
  </si>
  <si>
    <t>Crash rate (crashes/mi/year)</t>
  </si>
  <si>
    <t>Lane Width (ft)</t>
  </si>
  <si>
    <t>Shoulder Width (ft)</t>
  </si>
  <si>
    <t>Shoulder Type</t>
  </si>
  <si>
    <t>Lane Width</t>
  </si>
  <si>
    <t>TWLTL</t>
  </si>
  <si>
    <t>Lighting</t>
  </si>
  <si>
    <t>&lt; 400</t>
  </si>
  <si>
    <t>400 to 2000</t>
  </si>
  <si>
    <t>&gt; 2000</t>
  </si>
  <si>
    <t>HSM-Provided Values</t>
  </si>
  <si>
    <t>Locally-Derived Values</t>
  </si>
  <si>
    <t>Collision type</t>
  </si>
  <si>
    <t>Shoulder Width</t>
  </si>
  <si>
    <t>RHR</t>
  </si>
  <si>
    <t>Paved</t>
  </si>
  <si>
    <t>Gravel</t>
  </si>
  <si>
    <t>Composite</t>
  </si>
  <si>
    <t>Turf</t>
  </si>
  <si>
    <t>Spiral</t>
  </si>
  <si>
    <t>Not Present</t>
  </si>
  <si>
    <t>Present</t>
  </si>
  <si>
    <t>Centerline</t>
  </si>
  <si>
    <t>Rumble Strips</t>
  </si>
  <si>
    <t>Passing</t>
  </si>
  <si>
    <t>Lane</t>
  </si>
  <si>
    <t>SpEnforce</t>
  </si>
  <si>
    <t>Four-leg signalized intersections</t>
  </si>
  <si>
    <t>Fatal and injury</t>
  </si>
  <si>
    <t>Note: The collision types related to shoulder width to which this CMF applies include single-vehicle run-off-the-road and multiple-vehicle head-on, opposite-direction sideswipe, and same-direction sideswipe crashes.</t>
  </si>
  <si>
    <t>Present (1 lane)</t>
  </si>
  <si>
    <t>Present (2 lanes)</t>
  </si>
  <si>
    <t>Proportion of crashes that occur at night</t>
  </si>
  <si>
    <t>Roadway Type</t>
  </si>
  <si>
    <t>Note: The values for composite shoulders in this exhibit represent a shoulder for which 50 percent of the shoulder width is paved and 50 percent of the shoulder width is turf.</t>
  </si>
  <si>
    <t>Local</t>
  </si>
  <si>
    <t>Yes</t>
  </si>
  <si>
    <t>No</t>
  </si>
  <si>
    <t>Locally-Derived Values?</t>
  </si>
  <si>
    <t>Intersection</t>
  </si>
  <si>
    <t>Intersection type (3ST, 4ST, 4SG)</t>
  </si>
  <si>
    <r>
      <t>AADT</t>
    </r>
    <r>
      <rPr>
        <vertAlign val="subscript"/>
        <sz val="10"/>
        <rFont val="Arial"/>
        <family val="2"/>
      </rPr>
      <t>major</t>
    </r>
    <r>
      <rPr>
        <sz val="10"/>
        <rFont val="Arial"/>
        <family val="2"/>
      </rPr>
      <t xml:space="preserve"> (veh/day)</t>
    </r>
  </si>
  <si>
    <r>
      <t>AADT</t>
    </r>
    <r>
      <rPr>
        <vertAlign val="subscript"/>
        <sz val="10"/>
        <rFont val="Arial"/>
        <family val="2"/>
      </rPr>
      <t>minor</t>
    </r>
    <r>
      <rPr>
        <sz val="10"/>
        <rFont val="Arial"/>
        <family val="2"/>
      </rPr>
      <t xml:space="preserve"> (veh/day)</t>
    </r>
  </si>
  <si>
    <t>Intersection skew angle (degrees)</t>
  </si>
  <si>
    <t>Intersection lighting (present/not present)</t>
  </si>
  <si>
    <t>Itype</t>
  </si>
  <si>
    <t>3ST</t>
  </si>
  <si>
    <t>4ST</t>
  </si>
  <si>
    <t>4SG</t>
  </si>
  <si>
    <t>Lapproach</t>
  </si>
  <si>
    <t>Rapproach</t>
  </si>
  <si>
    <t>Ilight</t>
  </si>
  <si>
    <t>CMF for Left-Turn Lanes</t>
  </si>
  <si>
    <t>CMF for Right-Turn Lanes</t>
  </si>
  <si>
    <t>Combined CMF</t>
  </si>
  <si>
    <t>Differ</t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</si>
  <si>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(TOTAL)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</si>
  <si>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(FI)</t>
    </r>
    <r>
      <rPr>
        <b/>
        <sz val="10"/>
        <rFont val="Arial"/>
        <family val="2"/>
      </rPr>
      <t xml:space="preserve"> (crashes/year)</t>
    </r>
  </si>
  <si>
    <t>Predicted average crash frequency (crashes / year)</t>
  </si>
  <si>
    <t>Lighting (present/not present)</t>
  </si>
  <si>
    <t>1:7 or flatter</t>
  </si>
  <si>
    <t>Worksheet 1B (a) -- Crash Modification Factors for Rural Multilane Divided Roadway Segments</t>
  </si>
  <si>
    <t>CMF for Right Shoulder Width</t>
  </si>
  <si>
    <t>CMF for Median Width</t>
  </si>
  <si>
    <t>CMF 1rd</t>
  </si>
  <si>
    <t>CMF 2rd</t>
  </si>
  <si>
    <t>CMF 3rd</t>
  </si>
  <si>
    <t>CMF 4rd</t>
  </si>
  <si>
    <t>CMF 5rd</t>
  </si>
  <si>
    <t>from Equation 11-16</t>
  </si>
  <si>
    <t>from Equation 11-17</t>
  </si>
  <si>
    <t>from Section 11.7.2</t>
  </si>
  <si>
    <t>(1)*(2)*(3)*(4)*(5)</t>
  </si>
  <si>
    <t>Worksheet 1B (b) -- Crash Modification Factors for Rural Multilane Undivided Roadway Segments</t>
  </si>
  <si>
    <t>CMF 1ru</t>
  </si>
  <si>
    <t>from Equation 11-13</t>
  </si>
  <si>
    <t>CMF for Shoulder Width</t>
  </si>
  <si>
    <t>CMF 2ru</t>
  </si>
  <si>
    <t>from Equation 11-14</t>
  </si>
  <si>
    <t>CMF for Side Slopes</t>
  </si>
  <si>
    <t>CMF 3ru</t>
  </si>
  <si>
    <t>CMF 4ru</t>
  </si>
  <si>
    <t>from Equation 11-15</t>
  </si>
  <si>
    <t>from Section 11.7.1</t>
  </si>
  <si>
    <t>CMF 5ru</t>
  </si>
  <si>
    <t>Worksheet 1C (a) -- Roadway Segment Crashes for Rural Multilane Divided Roadway Segments</t>
  </si>
  <si>
    <t>SPF Coefficients</t>
  </si>
  <si>
    <t>a</t>
  </si>
  <si>
    <t>b</t>
  </si>
  <si>
    <t>c</t>
  </si>
  <si>
    <t>from Equation 11-9</t>
  </si>
  <si>
    <t>(6) from Worksheet   1B (a)</t>
  </si>
  <si>
    <t>(3)*(5)*(6)</t>
  </si>
  <si>
    <r>
      <t>Fatal and Injury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(FI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)</t>
    </r>
  </si>
  <si>
    <r>
      <t>(7)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- (7)</t>
    </r>
    <r>
      <rPr>
        <vertAlign val="subscript"/>
        <sz val="10"/>
        <rFont val="Arial"/>
        <family val="2"/>
      </rPr>
      <t>FI</t>
    </r>
  </si>
  <si>
    <r>
      <t xml:space="preserve">NOTE: 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Using the KABCO scale, these include only KAB crashes. Crashes with severity level C (possible injury) are not included.</t>
    </r>
  </si>
  <si>
    <t>Worksheet 1C (b) -- Roadway Segment Crashes for Rural Multilane Undivided Roadway Segments</t>
  </si>
  <si>
    <t>from Equation 11-7</t>
  </si>
  <si>
    <t>from Equation 11-8</t>
  </si>
  <si>
    <t>(6) from Worksheet   1B (b)</t>
  </si>
  <si>
    <t>Worksheet 1D (a) -- Crashes by Severity Level and Collision Type for Rural Multilane Divided Roadway Segments</t>
  </si>
  <si>
    <r>
      <t>Proportion of Collision Type (FI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)</t>
    </r>
  </si>
  <si>
    <r>
      <t>Proportion of Collision Type (PDO</t>
    </r>
    <r>
      <rPr>
        <b/>
        <sz val="10"/>
        <rFont val="Arial"/>
        <family val="2"/>
      </rPr>
      <t>)</t>
    </r>
  </si>
  <si>
    <r>
      <t xml:space="preserve">N </t>
    </r>
    <r>
      <rPr>
        <b/>
        <i/>
        <sz val="10"/>
        <rFont val="Arial"/>
        <family val="2"/>
      </rPr>
      <t>predicted rs</t>
    </r>
    <r>
      <rPr>
        <b/>
        <sz val="10"/>
        <rFont val="Arial"/>
        <family val="2"/>
      </rPr>
      <t xml:space="preserve"> (FI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) (crashes/year)</t>
    </r>
  </si>
  <si>
    <r>
      <t>(7)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1C (a)</t>
    </r>
  </si>
  <si>
    <r>
      <t>(7)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1C (a)</t>
    </r>
  </si>
  <si>
    <r>
      <t xml:space="preserve">(7) </t>
    </r>
    <r>
      <rPr>
        <vertAlign val="subscript"/>
        <sz val="10"/>
        <rFont val="Arial"/>
        <family val="2"/>
      </rPr>
      <t>FI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from Worksheet 1C (a)</t>
    </r>
  </si>
  <si>
    <r>
      <t>(7)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1C (a)</t>
    </r>
  </si>
  <si>
    <r>
      <t>(2)*(3)</t>
    </r>
    <r>
      <rPr>
        <vertAlign val="subscript"/>
        <sz val="10"/>
        <rFont val="Arial"/>
        <family val="2"/>
      </rPr>
      <t>TOTAL</t>
    </r>
  </si>
  <si>
    <r>
      <t>(4)x(5)</t>
    </r>
    <r>
      <rPr>
        <vertAlign val="subscript"/>
        <sz val="10"/>
        <rFont val="Arial"/>
        <family val="2"/>
      </rPr>
      <t>FI</t>
    </r>
  </si>
  <si>
    <r>
      <t>(6)*(7)</t>
    </r>
    <r>
      <rPr>
        <vertAlign val="subscript"/>
        <sz val="10"/>
        <rFont val="Arial"/>
        <family val="2"/>
      </rPr>
      <t xml:space="preserve"> FI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a</t>
    </r>
  </si>
  <si>
    <r>
      <t xml:space="preserve">(8)*(9) </t>
    </r>
    <r>
      <rPr>
        <vertAlign val="subscript"/>
        <sz val="10"/>
        <rFont val="Arial"/>
        <family val="2"/>
      </rPr>
      <t>PDO</t>
    </r>
  </si>
  <si>
    <t>Single-vehicle collision</t>
  </si>
  <si>
    <t>Other collision</t>
  </si>
  <si>
    <t>Worksheet 1D (b) -- Crashes by Severity Level and Collision Type for Rural Multilane Undivided Roadway Segments</t>
  </si>
  <si>
    <r>
      <t>(7)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1C (b)</t>
    </r>
  </si>
  <si>
    <r>
      <t>(7)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1C (b)</t>
    </r>
  </si>
  <si>
    <r>
      <t xml:space="preserve">(7) </t>
    </r>
    <r>
      <rPr>
        <vertAlign val="subscript"/>
        <sz val="10"/>
        <rFont val="Arial"/>
        <family val="2"/>
      </rPr>
      <t>FI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from Worksheet 1C (b)</t>
    </r>
  </si>
  <si>
    <r>
      <t>(7)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1C (b)</t>
    </r>
  </si>
  <si>
    <t>Worksheet 1E -- Summary Results for Rural Multilane Roadway Segments</t>
  </si>
  <si>
    <t>(7) from Worksheet 1C (a) or (b)</t>
  </si>
  <si>
    <t>(2)/(3)</t>
  </si>
  <si>
    <t>Mwidth</t>
  </si>
  <si>
    <t>Divided</t>
  </si>
  <si>
    <t>Undivided</t>
  </si>
  <si>
    <t>Division</t>
  </si>
  <si>
    <t>Proportion of crashes by collision type and crash severity level</t>
  </si>
  <si>
    <t>Head-on</t>
  </si>
  <si>
    <t>Sideswipe</t>
  </si>
  <si>
    <t>Rear-end</t>
  </si>
  <si>
    <t>Angle</t>
  </si>
  <si>
    <t>Single</t>
  </si>
  <si>
    <t>Other</t>
  </si>
  <si>
    <r>
      <t xml:space="preserve">Fatal and injury </t>
    </r>
    <r>
      <rPr>
        <vertAlign val="superscript"/>
        <sz val="10"/>
        <rFont val="Arial"/>
        <family val="2"/>
      </rPr>
      <t>a</t>
    </r>
  </si>
  <si>
    <t>PDO</t>
  </si>
  <si>
    <r>
      <t>Calculated Shoulder Width (CMF</t>
    </r>
    <r>
      <rPr>
        <vertAlign val="subscript"/>
        <sz val="10"/>
        <rFont val="Arial"/>
        <family val="2"/>
      </rPr>
      <t>wrc</t>
    </r>
    <r>
      <rPr>
        <sz val="10"/>
        <rFont val="Arial"/>
        <family val="2"/>
      </rPr>
      <t>) :</t>
    </r>
  </si>
  <si>
    <r>
      <t>Calculated Shoulder Type (CMF</t>
    </r>
    <r>
      <rPr>
        <vertAlign val="subscript"/>
        <sz val="10"/>
        <rFont val="Arial"/>
        <family val="2"/>
      </rPr>
      <t xml:space="preserve"> trc</t>
    </r>
    <r>
      <rPr>
        <sz val="10"/>
        <rFont val="Arial"/>
        <family val="2"/>
      </rPr>
      <t>) :</t>
    </r>
  </si>
  <si>
    <t>1:2 or Steeper</t>
  </si>
  <si>
    <t>1:4</t>
  </si>
  <si>
    <t>1:5</t>
  </si>
  <si>
    <t>1:6</t>
  </si>
  <si>
    <t>1:7 or Flatter</t>
  </si>
  <si>
    <t>Proportion of total night-time crashes by severity level</t>
  </si>
  <si>
    <r>
      <t>Fatal and injury, p</t>
    </r>
    <r>
      <rPr>
        <vertAlign val="subscript"/>
        <sz val="10"/>
        <rFont val="Arial"/>
        <family val="2"/>
      </rPr>
      <t>inr</t>
    </r>
  </si>
  <si>
    <r>
      <t>PDO, p</t>
    </r>
    <r>
      <rPr>
        <vertAlign val="subscript"/>
        <sz val="10"/>
        <rFont val="Arial"/>
        <family val="2"/>
      </rPr>
      <t>pnr</t>
    </r>
  </si>
  <si>
    <r>
      <t>p</t>
    </r>
    <r>
      <rPr>
        <vertAlign val="subscript"/>
        <sz val="10"/>
        <rFont val="Arial"/>
        <family val="2"/>
      </rPr>
      <t>nr</t>
    </r>
  </si>
  <si>
    <t>4U</t>
  </si>
  <si>
    <t>Shld2</t>
  </si>
  <si>
    <t>Average Shoulder Width (ft)</t>
  </si>
  <si>
    <t>CMF</t>
  </si>
  <si>
    <t>4D</t>
  </si>
  <si>
    <t>SV run-off-rd, Head-on, Sideswipe</t>
  </si>
  <si>
    <t>Worksheet 2A -- General Information and Input Data for Rural Multilane Highway Intersections</t>
  </si>
  <si>
    <t>Worksheet 2B -- Crash Modification Factors for Rural Multilane Highway Intersections</t>
  </si>
  <si>
    <t>(2)*(3)*(4)*(5)</t>
  </si>
  <si>
    <r>
      <t xml:space="preserve">CMF for Intersection Skew Angle (CMF </t>
    </r>
    <r>
      <rPr>
        <vertAlign val="subscript"/>
        <sz val="10"/>
        <rFont val="Arial"/>
        <family val="2"/>
      </rPr>
      <t>1i</t>
    </r>
    <r>
      <rPr>
        <sz val="10"/>
        <rFont val="Arial"/>
        <family val="2"/>
      </rPr>
      <t xml:space="preserve"> )</t>
    </r>
  </si>
  <si>
    <t>from Equations 11-18 or 11-20 and 11-19 or     11-21</t>
  </si>
  <si>
    <t>Worksheet 2C -- Intersection Crashes for Rural Multilane Highway Intersections</t>
  </si>
  <si>
    <r>
      <t xml:space="preserve">N </t>
    </r>
    <r>
      <rPr>
        <b/>
        <vertAlign val="subscript"/>
        <sz val="10"/>
        <rFont val="Arial"/>
        <family val="2"/>
      </rPr>
      <t>spf int</t>
    </r>
  </si>
  <si>
    <t>from Equation 11-11 or 11-12</t>
  </si>
  <si>
    <t>from (6) of Worksheet 2B</t>
  </si>
  <si>
    <r>
      <t>Predicted average crash frequency, N</t>
    </r>
    <r>
      <rPr>
        <b/>
        <vertAlign val="subscript"/>
        <sz val="10"/>
        <rFont val="Arial"/>
        <family val="2"/>
      </rPr>
      <t xml:space="preserve"> predicted int</t>
    </r>
  </si>
  <si>
    <t>Worksheet 2D -- Crashes by Severity Level and Collision Type for Rural Multilane Highway Intersections</t>
  </si>
  <si>
    <r>
      <t>(7)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2C</t>
    </r>
  </si>
  <si>
    <r>
      <t>(7)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2C</t>
    </r>
  </si>
  <si>
    <r>
      <t xml:space="preserve">N </t>
    </r>
    <r>
      <rPr>
        <b/>
        <i/>
        <sz val="10"/>
        <rFont val="Arial"/>
        <family val="2"/>
      </rPr>
      <t>predicted int</t>
    </r>
    <r>
      <rPr>
        <b/>
        <sz val="10"/>
        <rFont val="Arial"/>
        <family val="2"/>
      </rPr>
      <t xml:space="preserve"> (FI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) (crashes/year)</t>
    </r>
  </si>
  <si>
    <r>
      <t xml:space="preserve">(7) </t>
    </r>
    <r>
      <rPr>
        <vertAlign val="subscript"/>
        <sz val="10"/>
        <rFont val="Arial"/>
        <family val="2"/>
      </rPr>
      <t>FI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from Worksheet 2C</t>
    </r>
  </si>
  <si>
    <r>
      <t xml:space="preserve">N </t>
    </r>
    <r>
      <rPr>
        <b/>
        <i/>
        <vertAlign val="subscript"/>
        <sz val="10"/>
        <rFont val="Arial"/>
        <family val="2"/>
      </rPr>
      <t>predicted int</t>
    </r>
    <r>
      <rPr>
        <b/>
        <vertAlign val="subscript"/>
        <sz val="10"/>
        <rFont val="Arial"/>
        <family val="2"/>
      </rPr>
      <t xml:space="preserve"> (PDO) </t>
    </r>
    <r>
      <rPr>
        <b/>
        <sz val="10"/>
        <rFont val="Arial"/>
        <family val="2"/>
      </rPr>
      <t>(crashes/year)</t>
    </r>
  </si>
  <si>
    <r>
      <t>(7)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2C</t>
    </r>
  </si>
  <si>
    <t>Worksheet 2E -- Summary Results for Rural Multilane Highway Intersections</t>
  </si>
  <si>
    <t>(7) from Worksheet 2C</t>
  </si>
  <si>
    <t>Iapproach</t>
  </si>
  <si>
    <r>
      <t>p</t>
    </r>
    <r>
      <rPr>
        <vertAlign val="subscript"/>
        <sz val="10"/>
        <rFont val="Arial"/>
        <family val="2"/>
      </rPr>
      <t>ni</t>
    </r>
  </si>
  <si>
    <r>
      <t>Fatal and injury, p</t>
    </r>
    <r>
      <rPr>
        <vertAlign val="subscript"/>
        <sz val="10"/>
        <rFont val="Arial"/>
        <family val="2"/>
      </rPr>
      <t>ini</t>
    </r>
  </si>
  <si>
    <t>Four-leg intersections with minor road stop control</t>
  </si>
  <si>
    <t>Three-leg intersections with minor road stop control</t>
  </si>
  <si>
    <t>Worksheet 4A -- Predicted and Observed Crashes by Severity and Site Type Using the Project-Level EB Method</t>
  </si>
  <si>
    <t>Intersection 1</t>
  </si>
  <si>
    <t>Intersection 2</t>
  </si>
  <si>
    <t>COMBINED (sum of column)</t>
  </si>
  <si>
    <r>
      <t>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2"/>
      </rPr>
      <t xml:space="preserve"> (TOTAL)</t>
    </r>
  </si>
  <si>
    <r>
      <t xml:space="preserve">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2"/>
      </rPr>
      <t xml:space="preserve">    (PDO)</t>
    </r>
  </si>
  <si>
    <t>ROADWAY SEGMENTS</t>
  </si>
  <si>
    <t>INTERSECTIONS</t>
  </si>
  <si>
    <t>Segment 3</t>
  </si>
  <si>
    <t>Segment 4</t>
  </si>
  <si>
    <t>Segment 5</t>
  </si>
  <si>
    <t>Segment 6</t>
  </si>
  <si>
    <t>Segment 7</t>
  </si>
  <si>
    <t>Segment 8</t>
  </si>
  <si>
    <t>Intersection 3</t>
  </si>
  <si>
    <t>Intersection 4</t>
  </si>
  <si>
    <t>Intersection 5</t>
  </si>
  <si>
    <t>Intersection 6</t>
  </si>
  <si>
    <t>Intersection 7</t>
  </si>
  <si>
    <t>Intersection 8</t>
  </si>
  <si>
    <r>
      <t>N</t>
    </r>
    <r>
      <rPr>
        <b/>
        <vertAlign val="subscript"/>
        <sz val="10"/>
        <rFont val="Arial"/>
        <family val="2"/>
      </rPr>
      <t>w0</t>
    </r>
  </si>
  <si>
    <r>
      <t>N</t>
    </r>
    <r>
      <rPr>
        <b/>
        <vertAlign val="subscript"/>
        <sz val="10"/>
        <rFont val="Arial"/>
        <family val="2"/>
      </rPr>
      <t>w1</t>
    </r>
  </si>
  <si>
    <r>
      <t>W</t>
    </r>
    <r>
      <rPr>
        <b/>
        <vertAlign val="subscript"/>
        <sz val="10"/>
        <rFont val="Arial"/>
        <family val="2"/>
      </rPr>
      <t>0</t>
    </r>
  </si>
  <si>
    <r>
      <t>N</t>
    </r>
    <r>
      <rPr>
        <b/>
        <vertAlign val="subscript"/>
        <sz val="10"/>
        <rFont val="Arial"/>
        <family val="2"/>
      </rPr>
      <t>0</t>
    </r>
  </si>
  <si>
    <r>
      <t>Equation A-8  (6)*(2)</t>
    </r>
    <r>
      <rPr>
        <vertAlign val="superscript"/>
        <sz val="10"/>
        <rFont val="Arial"/>
        <family val="2"/>
      </rPr>
      <t>2</t>
    </r>
  </si>
  <si>
    <t>Equation A-9  sqrt((6)*(2))</t>
  </si>
  <si>
    <r>
      <t>w</t>
    </r>
    <r>
      <rPr>
        <b/>
        <vertAlign val="subscript"/>
        <sz val="10"/>
        <rFont val="Arial"/>
        <family val="2"/>
      </rPr>
      <t>1</t>
    </r>
  </si>
  <si>
    <r>
      <t>N</t>
    </r>
    <r>
      <rPr>
        <b/>
        <vertAlign val="subscript"/>
        <sz val="10"/>
        <rFont val="Arial"/>
        <family val="2"/>
      </rPr>
      <t>1</t>
    </r>
  </si>
  <si>
    <t>Equation   A-10</t>
  </si>
  <si>
    <t>Equation   A-11</t>
  </si>
  <si>
    <t>Equation   A-12</t>
  </si>
  <si>
    <t>Equation   A-13</t>
  </si>
  <si>
    <r>
      <t>N</t>
    </r>
    <r>
      <rPr>
        <b/>
        <vertAlign val="subscript"/>
        <sz val="10"/>
        <rFont val="Arial"/>
        <family val="2"/>
      </rPr>
      <t>p/comb</t>
    </r>
  </si>
  <si>
    <t>Equation   A-14</t>
  </si>
  <si>
    <r>
      <t>Observed crashes,</t>
    </r>
    <r>
      <rPr>
        <sz val="10"/>
        <rFont val="Arial"/>
        <family val="2"/>
      </rPr>
      <t xml:space="preserve">   N</t>
    </r>
    <r>
      <rPr>
        <vertAlign val="subscript"/>
        <sz val="10"/>
        <rFont val="Arial"/>
        <family val="2"/>
      </rPr>
      <t>observed</t>
    </r>
    <r>
      <rPr>
        <sz val="10"/>
        <rFont val="Arial"/>
        <family val="2"/>
      </rPr>
      <t xml:space="preserve"> (crashes/year)</t>
    </r>
  </si>
  <si>
    <t>Worksheet 3A -- Predicted and Observed Crashes by Severity and Site Type Using the Site-Specific EB Method</t>
  </si>
  <si>
    <t>Weighted adjustment, w</t>
  </si>
  <si>
    <t>Equation A-5 from Part C Appendix</t>
  </si>
  <si>
    <t>Worksheet 3B -- Site-Specific EB Method Summary Results</t>
  </si>
  <si>
    <r>
      <t xml:space="preserve">N </t>
    </r>
    <r>
      <rPr>
        <b/>
        <vertAlign val="subscript"/>
        <sz val="10"/>
        <rFont val="Arial"/>
        <family val="2"/>
      </rPr>
      <t>predicted</t>
    </r>
  </si>
  <si>
    <r>
      <t xml:space="preserve">N </t>
    </r>
    <r>
      <rPr>
        <b/>
        <vertAlign val="subscript"/>
        <sz val="10"/>
        <rFont val="Arial"/>
        <family val="2"/>
      </rPr>
      <t>expected</t>
    </r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</si>
  <si>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</si>
  <si>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(8)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</si>
  <si>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t>Fatal and injury (FI)</t>
  </si>
  <si>
    <t>Property damage only (PDO)</t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</si>
  <si>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</si>
  <si>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</si>
  <si>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(3)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</si>
  <si>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r>
      <t>(3)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PDO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</si>
  <si>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t>Worksheet 4B -- Project-Level EB Method Summary Results</t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</si>
  <si>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</si>
  <si>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</si>
  <si>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</si>
  <si>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(13)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</si>
  <si>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t>The current contents of this spreadsheet include the following:</t>
  </si>
  <si>
    <t>Worksheet Name</t>
  </si>
  <si>
    <t>Contents</t>
  </si>
  <si>
    <t>Overview</t>
  </si>
  <si>
    <t>Instructions</t>
  </si>
  <si>
    <t>Current worksheet displaying overview, summary</t>
  </si>
  <si>
    <t>of spreadsheet worksheets, and description of</t>
  </si>
  <si>
    <t>color coding included in the worksheets.</t>
  </si>
  <si>
    <t>Rural Divided Multilane Seg</t>
  </si>
  <si>
    <t>Analysis for the rural divided multilane segment</t>
  </si>
  <si>
    <t>Analysis for the rural undivided multilane segment</t>
  </si>
  <si>
    <t>Rural Multilane Intersection</t>
  </si>
  <si>
    <t>Analysis for the rural multilane intersection</t>
  </si>
  <si>
    <t>The associated HSM worksheets are</t>
  </si>
  <si>
    <t>Worksheets 2A, 2B, 2C, 2D, and 2E.</t>
  </si>
  <si>
    <t>Rural Multilane Site Total</t>
  </si>
  <si>
    <t>Rural Undivided Multilane Seg</t>
  </si>
  <si>
    <t>multilane worksheets.This analysis can be</t>
  </si>
  <si>
    <t>of historic crashes within the study limits.</t>
  </si>
  <si>
    <t>are Worksheets 1A, 1B(b), 1C(b), 1D(b), and 1E.</t>
  </si>
  <si>
    <t>Worksheets 1A, 1B(a), 1C(a), 1D(a), and 1E.</t>
  </si>
  <si>
    <t>Worksheets 3A and 3B.</t>
  </si>
  <si>
    <t>performed if the analyst knows the exact location</t>
  </si>
  <si>
    <t>Rural Multilane Project Total</t>
  </si>
  <si>
    <t xml:space="preserve">Analysis for project-specific EB analysis using </t>
  </si>
  <si>
    <t>results from the rural divided and undivided</t>
  </si>
  <si>
    <t>segment as well as rural intersection multilane</t>
  </si>
  <si>
    <t>the analyst has historic crash data, but does</t>
  </si>
  <si>
    <t>not know the exact location within the project</t>
  </si>
  <si>
    <t>associated HSM worksheets are Worksheets</t>
  </si>
  <si>
    <t>4A and 4B.</t>
  </si>
  <si>
    <t>Analysis for site-specific EB analysis using</t>
  </si>
  <si>
    <t xml:space="preserve">segment as well as rural intersection </t>
  </si>
  <si>
    <t>Construction</t>
  </si>
  <si>
    <t>Data in this worksheet has been used to</t>
  </si>
  <si>
    <t>help define the pull-down options in the</t>
  </si>
  <si>
    <t>analysis worksheets.  There is no need for a</t>
  </si>
  <si>
    <t>user to work within this worksheet, but the</t>
  </si>
  <si>
    <t>worksheet should be retained so that the</t>
  </si>
  <si>
    <t>other worksheets can continue to use the</t>
  </si>
  <si>
    <t>options included in this sheet.</t>
  </si>
  <si>
    <t>Color Coding in the Worksheets</t>
  </si>
  <si>
    <t>Color Used</t>
  </si>
  <si>
    <t>Type of Information Required from User</t>
  </si>
  <si>
    <t>to improve analysis for local crash distribution</t>
  </si>
  <si>
    <t>worksheets will then use the local values</t>
  </si>
  <si>
    <t>instead of the HSM default values.</t>
  </si>
  <si>
    <t>SH 123</t>
  </si>
  <si>
    <t>MP 0.0 to MP 1.5</t>
  </si>
  <si>
    <t>Anywhere, USA</t>
  </si>
  <si>
    <t>MP 1.5 to MP 1.6</t>
  </si>
  <si>
    <t>Intersection at MP 1.5</t>
  </si>
  <si>
    <t>Median Width (ft)</t>
  </si>
  <si>
    <t>N spf rd</t>
  </si>
  <si>
    <t>Proportion of Collision Type(FI)</t>
  </si>
  <si>
    <t>Note: The collision types related to lane width to which this CMF applies include run-off-the-road, head-on crashes, and sideswipes.</t>
  </si>
  <si>
    <t>Calculations for the CMF for Shoulder Type and Widths</t>
  </si>
  <si>
    <t>Tables Affiliated with Crash Statistics:</t>
  </si>
  <si>
    <t>Tables Affiliated with Crash Modification Factors:</t>
  </si>
  <si>
    <r>
      <t xml:space="preserve">  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2"/>
      </rPr>
      <t xml:space="preserve">     (FI)</t>
    </r>
  </si>
  <si>
    <r>
      <t>(CMF</t>
    </r>
    <r>
      <rPr>
        <vertAlign val="subscript"/>
        <sz val="10"/>
        <rFont val="Arial"/>
        <family val="2"/>
      </rPr>
      <t xml:space="preserve"> 2i</t>
    </r>
    <r>
      <rPr>
        <sz val="10"/>
        <rFont val="Arial"/>
        <family val="2"/>
      </rPr>
      <t xml:space="preserve"> )</t>
    </r>
  </si>
  <si>
    <r>
      <t>(CMF</t>
    </r>
    <r>
      <rPr>
        <vertAlign val="subscript"/>
        <sz val="10"/>
        <rFont val="Arial"/>
        <family val="2"/>
      </rPr>
      <t xml:space="preserve"> 3i </t>
    </r>
    <r>
      <rPr>
        <sz val="10"/>
        <rFont val="Arial"/>
        <family val="2"/>
      </rPr>
      <t>)</t>
    </r>
  </si>
  <si>
    <r>
      <t>(CMF</t>
    </r>
    <r>
      <rPr>
        <vertAlign val="subscript"/>
        <sz val="10"/>
        <rFont val="Arial"/>
        <family val="2"/>
      </rPr>
      <t xml:space="preserve"> 4i </t>
    </r>
    <r>
      <rPr>
        <sz val="10"/>
        <rFont val="Arial"/>
        <family val="2"/>
      </rPr>
      <t>)</t>
    </r>
  </si>
  <si>
    <r>
      <t>Combined CMF (CMF</t>
    </r>
    <r>
      <rPr>
        <vertAlign val="subscript"/>
        <sz val="10"/>
        <rFont val="Arial"/>
        <family val="2"/>
      </rPr>
      <t xml:space="preserve"> COMB </t>
    </r>
    <r>
      <rPr>
        <sz val="10"/>
        <rFont val="Arial"/>
        <family val="2"/>
      </rPr>
      <t>)</t>
    </r>
  </si>
  <si>
    <t>from Equation 11-22</t>
  </si>
  <si>
    <t>RtApproach</t>
  </si>
  <si>
    <t>1:3</t>
  </si>
  <si>
    <t>Sslope2</t>
  </si>
  <si>
    <r>
      <t>Predicted average crash frequency, N</t>
    </r>
    <r>
      <rPr>
        <b/>
        <vertAlign val="subscript"/>
        <sz val="10"/>
        <rFont val="Arial"/>
        <family val="2"/>
      </rPr>
      <t xml:space="preserve"> predicted rs(u)</t>
    </r>
  </si>
  <si>
    <r>
      <t>Predicted average crash frequency, N</t>
    </r>
    <r>
      <rPr>
        <b/>
        <vertAlign val="subscript"/>
        <sz val="10"/>
        <rFont val="Arial"/>
        <family val="2"/>
      </rPr>
      <t xml:space="preserve"> predicted rs(d)</t>
    </r>
  </si>
  <si>
    <r>
      <t xml:space="preserve">N </t>
    </r>
    <r>
      <rPr>
        <b/>
        <sz val="6"/>
        <rFont val="Arial"/>
        <family val="2"/>
      </rPr>
      <t>predicted rs(d) (TOTAL)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</si>
  <si>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sz val="6"/>
        <rFont val="Arial"/>
        <family val="2"/>
      </rPr>
      <t>predicted rs(d) (FI)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</si>
  <si>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vertAlign val="subscript"/>
        <sz val="10"/>
        <rFont val="Arial"/>
        <family val="2"/>
      </rPr>
      <t xml:space="preserve">predicted rs(d) (PDO) </t>
    </r>
    <r>
      <rPr>
        <b/>
        <sz val="10"/>
        <rFont val="Arial"/>
        <family val="2"/>
      </rPr>
      <t>(crashes/year)</t>
    </r>
  </si>
  <si>
    <r>
      <t xml:space="preserve">N </t>
    </r>
    <r>
      <rPr>
        <b/>
        <sz val="6"/>
        <rFont val="Arial"/>
        <family val="2"/>
      </rPr>
      <t>predicted rs(u) (TOTAL)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</si>
  <si>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sz val="6"/>
        <rFont val="Arial"/>
        <family val="2"/>
      </rPr>
      <t>predicted rs(u) (FI)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</si>
  <si>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vertAlign val="subscript"/>
        <sz val="10"/>
        <rFont val="Arial"/>
        <family val="2"/>
      </rPr>
      <t>predicted rs(u)</t>
    </r>
    <r>
      <rPr>
        <b/>
        <sz val="10"/>
        <rFont val="Arial"/>
        <family val="2"/>
      </rPr>
      <t xml:space="preserve"> (FI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) (crashes/year)</t>
    </r>
  </si>
  <si>
    <r>
      <t xml:space="preserve">N </t>
    </r>
    <r>
      <rPr>
        <b/>
        <vertAlign val="subscript"/>
        <sz val="10"/>
        <rFont val="Arial"/>
        <family val="2"/>
      </rPr>
      <t xml:space="preserve">predicted rs(u) (PDO) </t>
    </r>
    <r>
      <rPr>
        <b/>
        <sz val="10"/>
        <rFont val="Arial"/>
        <family val="2"/>
      </rPr>
      <t>(crashes/year)</t>
    </r>
  </si>
  <si>
    <t>Tables Affiliated with Crash Modification Factors for Specific Segment AADT values:</t>
  </si>
  <si>
    <t>Shld3</t>
  </si>
  <si>
    <t>Note:  The 4-leg Signalized Intersection (4SG) models do not have base conditions and so can only be used for estimation purposes.  As a result, there are not CMFs provided for the 4SG condition.</t>
  </si>
  <si>
    <t>Segment Tables</t>
  </si>
  <si>
    <t>Worksheet shows exhibits for use by the</t>
  </si>
  <si>
    <t>segment worksheets.  These exhibits  are</t>
  </si>
  <si>
    <t>independent and do not depend on input values.</t>
  </si>
  <si>
    <t xml:space="preserve">This worksheet includes exhibits that summarize </t>
  </si>
  <si>
    <t>Intersection Tables</t>
  </si>
  <si>
    <t>exhibits for estimating crash distributions and can</t>
  </si>
  <si>
    <t>be modified for locally-derived conditions if</t>
  </si>
  <si>
    <t>this information is available.</t>
  </si>
  <si>
    <t>crash information and can be modified for locally-derived</t>
  </si>
  <si>
    <t>N spf rs(u)</t>
  </si>
  <si>
    <t>Highway Safety Manual 1st Edition, Volume 2, Chapter 11-- Predictive Method for Rural Multilane Highways -- Analysis Spreadsheet Summary</t>
  </si>
  <si>
    <t>Table 11-4: Distribution of Crashes by Collision Type and Crash Severity Level for Undivided Roadway Segments</t>
  </si>
  <si>
    <t>Table 11-6: Distribution of Crashes by Collision Type and Crash Severity Level for Divided Roadway Segments</t>
  </si>
  <si>
    <t>Table 11-9: Distribution of Intersection Crashes by Collision Type and Crash Severity</t>
  </si>
  <si>
    <r>
      <t>Table 11-11: CMF for Lane Width on Undivided Roadway Segments (CMF</t>
    </r>
    <r>
      <rPr>
        <b/>
        <vertAlign val="subscript"/>
        <sz val="10"/>
        <rFont val="Arial"/>
        <family val="2"/>
      </rPr>
      <t>RA</t>
    </r>
    <r>
      <rPr>
        <b/>
        <sz val="10"/>
        <rFont val="Arial"/>
        <family val="2"/>
      </rPr>
      <t>)</t>
    </r>
  </si>
  <si>
    <r>
      <t>Table 11-12: CMF for Collision Types Related to Shoulder Width (CMF</t>
    </r>
    <r>
      <rPr>
        <b/>
        <vertAlign val="subscript"/>
        <sz val="10"/>
        <rFont val="Arial"/>
        <family val="2"/>
      </rPr>
      <t>WRA</t>
    </r>
    <r>
      <rPr>
        <b/>
        <sz val="10"/>
        <rFont val="Arial"/>
        <family val="2"/>
      </rPr>
      <t>)</t>
    </r>
  </si>
  <si>
    <r>
      <t>Table 11-13: CMF for Collision Types Related to Shoulder Types and Shoulder Widths (CMF</t>
    </r>
    <r>
      <rPr>
        <b/>
        <vertAlign val="subscript"/>
        <sz val="10"/>
        <rFont val="Arial"/>
        <family val="2"/>
      </rPr>
      <t>TRA</t>
    </r>
    <r>
      <rPr>
        <b/>
        <sz val="10"/>
        <rFont val="Arial"/>
        <family val="2"/>
      </rPr>
      <t>)</t>
    </r>
  </si>
  <si>
    <r>
      <t>Table 11-14: CMF for Side Slope on Undivided Roadway Segments (CMF</t>
    </r>
    <r>
      <rPr>
        <b/>
        <vertAlign val="subscript"/>
        <sz val="10"/>
        <rFont val="Arial"/>
        <family val="2"/>
      </rPr>
      <t>3ru</t>
    </r>
    <r>
      <rPr>
        <b/>
        <sz val="10"/>
        <rFont val="Arial"/>
        <family val="2"/>
      </rPr>
      <t>)</t>
    </r>
  </si>
  <si>
    <t>from Table 11-14</t>
  </si>
  <si>
    <t>Table 11-15: Night-time Crash Proportions for Unlighted Roadway Segments</t>
  </si>
  <si>
    <r>
      <t>Table 11-16: CMF for Lane Width on Divided Roadway Segments (CMF</t>
    </r>
    <r>
      <rPr>
        <b/>
        <vertAlign val="subscript"/>
        <sz val="10"/>
        <rFont val="Arial"/>
        <family val="2"/>
      </rPr>
      <t>RA</t>
    </r>
    <r>
      <rPr>
        <b/>
        <sz val="10"/>
        <rFont val="Arial"/>
        <family val="2"/>
      </rPr>
      <t>)</t>
    </r>
  </si>
  <si>
    <t>Tables Affiliated with CMFs for Specific Segment AADT values:</t>
  </si>
  <si>
    <r>
      <t>Table 11-17: CMF for Right Shoulder Width on Divided Roadway Segments (CMF2</t>
    </r>
    <r>
      <rPr>
        <b/>
        <vertAlign val="subscript"/>
        <sz val="10"/>
        <rFont val="Arial"/>
        <family val="2"/>
      </rPr>
      <t>rd</t>
    </r>
    <r>
      <rPr>
        <b/>
        <sz val="10"/>
        <rFont val="Arial"/>
        <family val="2"/>
      </rPr>
      <t>)</t>
    </r>
  </si>
  <si>
    <t>from Table 11-17</t>
  </si>
  <si>
    <r>
      <t>Table 11-18: CMF for Median Width on Divided Roadway Segments without a Median Barrier(CMF3</t>
    </r>
    <r>
      <rPr>
        <b/>
        <vertAlign val="subscript"/>
        <sz val="10"/>
        <rFont val="Arial"/>
        <family val="2"/>
      </rPr>
      <t>rd</t>
    </r>
    <r>
      <rPr>
        <b/>
        <sz val="10"/>
        <rFont val="Arial"/>
        <family val="2"/>
      </rPr>
      <t>)</t>
    </r>
  </si>
  <si>
    <t>from Table 11-18</t>
  </si>
  <si>
    <t>Table 11-19: Night-time Crash Proportions for Unlighted Roadway Segments</t>
  </si>
  <si>
    <t>from Table 11-3</t>
  </si>
  <si>
    <t>from Table 11-5</t>
  </si>
  <si>
    <t>from Table 11-6</t>
  </si>
  <si>
    <t>from Table 11-4</t>
  </si>
  <si>
    <t xml:space="preserve">  from Table   11-4</t>
  </si>
  <si>
    <t>Table 11-24: Night-time Crash Proportions for Unlighted Intersections</t>
  </si>
  <si>
    <t>from Table 11-22</t>
  </si>
  <si>
    <t>from Table 11-23</t>
  </si>
  <si>
    <t>from Table 11-7 or 11-8</t>
  </si>
  <si>
    <t>from Table 11-9</t>
  </si>
  <si>
    <t xml:space="preserve">  from Table   11-9</t>
  </si>
  <si>
    <t>analysis includes AADT specific Tables 11-11</t>
  </si>
  <si>
    <t>conditions.  These are Tables 11-4, 11-6, 11-15,</t>
  </si>
  <si>
    <t>and 11-19.  Tables specific to CMFs are also included.</t>
  </si>
  <si>
    <t>The CMF tables in this worksheet are 11-13, 11-14,</t>
  </si>
  <si>
    <t>analysis includesTables 11-9 and 11-24.</t>
  </si>
  <si>
    <t>11-17, and 11-18.</t>
  </si>
  <si>
    <t>analysis includes AADT specific Table 11-16.</t>
  </si>
  <si>
    <t>Tables 11-9 and 11-24 are intersection</t>
  </si>
  <si>
    <r>
      <t>AADT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</si>
  <si>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t>Spreadsheet developed by:</t>
  </si>
  <si>
    <t>Karen Dixon, Ph.D., P.E.</t>
  </si>
  <si>
    <t>Skew Intersection:</t>
  </si>
  <si>
    <t>Roadway type (undivided)</t>
  </si>
  <si>
    <t>Roadway type (divided)</t>
  </si>
  <si>
    <t>Worksheet 1A -- General Information and Input Data for Rural Multilane Divided Roadway Segments</t>
  </si>
  <si>
    <t>Worksheet 1A -- General Information and Input Data for Rural Multilane Undivided Roadway Segments</t>
  </si>
  <si>
    <t>Texas A&amp;M Transportation Institute</t>
  </si>
  <si>
    <t>Traffic Operations &amp; Roadway Safety</t>
  </si>
  <si>
    <t>1111 RELLIS Parkway</t>
  </si>
  <si>
    <t>Bryan, TX 77807-3135</t>
  </si>
  <si>
    <t>E-mail:  k-dixon@tti.tamu.edu</t>
  </si>
  <si>
    <t>Phone:  (979) 317-2143</t>
  </si>
  <si>
    <t>Spreadsheet updated by:</t>
  </si>
  <si>
    <t>Michael P. Pratt, P.E., P.T.O.E.</t>
  </si>
  <si>
    <t>Roadway Design</t>
  </si>
  <si>
    <t>E-mail:  m-pratt@tti.tamu.edu</t>
  </si>
  <si>
    <t>Phone:  (979) 317-2149</t>
  </si>
  <si>
    <t>SRG</t>
  </si>
  <si>
    <t>TTI</t>
  </si>
  <si>
    <t>Region</t>
  </si>
  <si>
    <t>East</t>
  </si>
  <si>
    <t>North</t>
  </si>
  <si>
    <t>South</t>
  </si>
  <si>
    <t>West</t>
  </si>
  <si>
    <t>`</t>
  </si>
  <si>
    <t>Overdispersion</t>
  </si>
  <si>
    <t>Region Adjustment Factors</t>
  </si>
  <si>
    <r>
      <t>Fatal and Injury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(FI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)</t>
    </r>
  </si>
  <si>
    <t>HSM</t>
  </si>
  <si>
    <t>Fatal</t>
  </si>
  <si>
    <t>Incapacitating Injury</t>
  </si>
  <si>
    <t>Nonincapacitating Injury</t>
  </si>
  <si>
    <t>Possible Injury</t>
  </si>
  <si>
    <t>Total Fatal Plus Injury</t>
  </si>
  <si>
    <t>Property Damage Only</t>
  </si>
  <si>
    <t>TOTAL</t>
  </si>
  <si>
    <t>Percentage of total roadway segment crashes</t>
  </si>
  <si>
    <t>Divided roadway segments</t>
  </si>
  <si>
    <t>Undivided roadway segments</t>
  </si>
  <si>
    <t>Locally-Derived Distribution Values for Crash Severity Level on Rural Multilane Roadway Segments</t>
  </si>
  <si>
    <t>Not Specified</t>
  </si>
  <si>
    <t>a (3ST)</t>
  </si>
  <si>
    <t>b (3ST)</t>
  </si>
  <si>
    <t>c (3ST)</t>
  </si>
  <si>
    <t>a (4ST)</t>
  </si>
  <si>
    <t>b (4ST)</t>
  </si>
  <si>
    <t>c (4ST)</t>
  </si>
  <si>
    <t>a (4SG)</t>
  </si>
  <si>
    <t>b (4SG)</t>
  </si>
  <si>
    <t>d (4SG)</t>
  </si>
  <si>
    <t>k</t>
  </si>
  <si>
    <t>k (3ST)</t>
  </si>
  <si>
    <t>k (4ST)</t>
  </si>
  <si>
    <t>k (4SG)</t>
  </si>
  <si>
    <t>Locally-Derived Distribution Values for Crash Severity Level on Rural Multilane Roadway Intersections</t>
  </si>
  <si>
    <t>Percentage of total intersection crashes</t>
  </si>
  <si>
    <t>Median type on major road</t>
  </si>
  <si>
    <t xml:space="preserve">identify locations where input data is required or output data is </t>
  </si>
  <si>
    <t>is as follows:</t>
  </si>
  <si>
    <t>trends, each of the Tables with the locally-</t>
  </si>
  <si>
    <t>Key output data, including predicted crash</t>
  </si>
  <si>
    <t>frequency, expected crash frequency, or</t>
  </si>
  <si>
    <t>combined CMF.</t>
  </si>
  <si>
    <t>SPF Coefficients for Rural Multilane Undivided Highways</t>
  </si>
  <si>
    <t>SPF Coefficients for Rural Multilane Divided Highways</t>
  </si>
  <si>
    <t>District</t>
  </si>
  <si>
    <t>Abilene</t>
  </si>
  <si>
    <t>Amarillo</t>
  </si>
  <si>
    <t>Austin</t>
  </si>
  <si>
    <t>Beaumont</t>
  </si>
  <si>
    <t>Brownwood</t>
  </si>
  <si>
    <t>Atlanta</t>
  </si>
  <si>
    <t>Bryan</t>
  </si>
  <si>
    <t>Corpus Christi</t>
  </si>
  <si>
    <t>Dallas</t>
  </si>
  <si>
    <t>El Paso</t>
  </si>
  <si>
    <t>Houston</t>
  </si>
  <si>
    <t>Laredo</t>
  </si>
  <si>
    <t>Lufkin</t>
  </si>
  <si>
    <t>Paris</t>
  </si>
  <si>
    <t>Pharr</t>
  </si>
  <si>
    <t>San Angelo</t>
  </si>
  <si>
    <t>San Antonio</t>
  </si>
  <si>
    <t>Fort Worth</t>
  </si>
  <si>
    <t>Tyler</t>
  </si>
  <si>
    <t>Waco</t>
  </si>
  <si>
    <t>Wichita Falls</t>
  </si>
  <si>
    <t>Childress</t>
  </si>
  <si>
    <t>Lubbock</t>
  </si>
  <si>
    <t>Odessa</t>
  </si>
  <si>
    <t>Yoakum</t>
  </si>
  <si>
    <t>Districts and Regions</t>
  </si>
  <si>
    <t>TxDOT district</t>
  </si>
  <si>
    <t>These values are determined from a query of</t>
  </si>
  <si>
    <t>crash data and should be altered with caution</t>
  </si>
  <si>
    <t>only if justified based on an updated data</t>
  </si>
  <si>
    <t>using locally-derived crash information.  The</t>
  </si>
  <si>
    <t>Optional input data used to describe the analysis.</t>
  </si>
  <si>
    <t>These values do not affect calculation results.</t>
  </si>
  <si>
    <t>Local Calibration Factors</t>
  </si>
  <si>
    <t>Major Median Type</t>
  </si>
  <si>
    <t>Factor Value</t>
  </si>
  <si>
    <r>
      <t>State/Region Adjustment, C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* AF</t>
    </r>
    <r>
      <rPr>
        <b/>
        <vertAlign val="subscript"/>
        <sz val="10"/>
        <rFont val="Arial"/>
        <family val="2"/>
      </rPr>
      <t>r</t>
    </r>
  </si>
  <si>
    <r>
      <t>Statewide Calibration Factor, C</t>
    </r>
    <r>
      <rPr>
        <vertAlign val="subscript"/>
        <sz val="10"/>
        <rFont val="Arial"/>
        <family val="2"/>
      </rPr>
      <t>s</t>
    </r>
  </si>
  <si>
    <r>
      <t>State/Region Adjustment,     C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* AF</t>
    </r>
    <r>
      <rPr>
        <b/>
        <vertAlign val="subscript"/>
        <sz val="10"/>
        <rFont val="Arial"/>
        <family val="2"/>
      </rPr>
      <t>r</t>
    </r>
  </si>
  <si>
    <t>Updated for Texas Roadways based on TxDOT Research Projects 0-7083 &amp; 5-7083</t>
  </si>
  <si>
    <t>Comment Boxes in the Worksheets</t>
  </si>
  <si>
    <t>Some of the cells in the worksheets have comment boxes that provide</t>
  </si>
  <si>
    <t>indicate the presence of these comments.  The comments can be</t>
  </si>
  <si>
    <t>viewed by placing the cursor on top of the red triangles.</t>
  </si>
  <si>
    <t>in the HSM.  Comment provided.</t>
  </si>
  <si>
    <r>
      <t xml:space="preserve">additional clarification about the needed input data.  </t>
    </r>
    <r>
      <rPr>
        <u/>
        <sz val="10"/>
        <rFont val="Arial"/>
        <family val="2"/>
      </rPr>
      <t>Red triangles</t>
    </r>
  </si>
  <si>
    <t>Average shoulder width (ft)</t>
  </si>
  <si>
    <t>Shoulder type</t>
  </si>
  <si>
    <t>Median width (ft)</t>
  </si>
  <si>
    <t>Average right shoulder width (ft)</t>
  </si>
  <si>
    <t>Right shoulder type</t>
  </si>
  <si>
    <t>Side slope</t>
  </si>
  <si>
    <t>Automated speed enforcement (present/not present)</t>
  </si>
  <si>
    <t>Map</t>
  </si>
  <si>
    <t>veh/day</t>
  </si>
  <si>
    <t>This spreadsheet has been developed to demonstrate the predictive models for</t>
  </si>
  <si>
    <t>was developed for training purposes and all users should verify that the answers</t>
  </si>
  <si>
    <t>that they obtain with these worksheets correctly represent their target analysis.</t>
  </si>
  <si>
    <t>The worksheet tabs shown at the bottom of this file represent the various analyses</t>
  </si>
  <si>
    <t>that can be performed using this spreadsheet tool and the HSM predictive methods.</t>
  </si>
  <si>
    <t>A user can evaluate an individual road segment or intersection as well as analyze</t>
  </si>
  <si>
    <t>multiple road segments and intersections.  If more than one segment type requires</t>
  </si>
  <si>
    <t>analysis, the user should create a blank worksheet and then copy the contents</t>
  </si>
  <si>
    <t>of the segment worksheet into the blank sheet and name the worksheet accordingly.</t>
  </si>
  <si>
    <t>The analysis worksheets provide the base condition for each input variable.  If the</t>
  </si>
  <si>
    <t>user does not have data to describe the site conditions for the variable of interest,</t>
  </si>
  <si>
    <t>he or she should enter a value equal to the base condition for the variable.</t>
  </si>
  <si>
    <t>rural multilane highways as contained in the Highway Safety Manual.  The content</t>
  </si>
  <si>
    <t xml:space="preserve">provided.  In some cases, the shaded cells require the user to input </t>
  </si>
  <si>
    <t xml:space="preserve">specific numbers.  In other cases the input is restricted to a select </t>
  </si>
  <si>
    <t xml:space="preserve">set of options included in pull-down lists.  The respective color coding </t>
  </si>
  <si>
    <t>The worksheets include five specific color options to help users</t>
  </si>
  <si>
    <t>and 11-12.  The associated HSM worksheets</t>
  </si>
  <si>
    <t>worksheets.  This analysis can be performed if</t>
  </si>
  <si>
    <t>limits at which the crashes occurred.  The</t>
  </si>
  <si>
    <t>Required input data as identified in the HSM.</t>
  </si>
  <si>
    <t>Input data required from the user but restricted</t>
  </si>
  <si>
    <t>to options provided in drop-down menus.</t>
  </si>
  <si>
    <t>Optional input data that can be used to</t>
  </si>
  <si>
    <t>supplement the analysis if this information</t>
  </si>
  <si>
    <t>is available.  This optional input data is</t>
  </si>
  <si>
    <t>reserved for locally-derived crash information.</t>
  </si>
  <si>
    <t>analysis.  If the user elects to use this option</t>
  </si>
  <si>
    <t>derived input also include a drop-down menu</t>
  </si>
  <si>
    <t>where the user should indicate he or she is</t>
  </si>
  <si>
    <t>Required input data as identified</t>
  </si>
  <si>
    <t>From Divided worksheet</t>
  </si>
  <si>
    <t>From Undivided worksheet</t>
  </si>
  <si>
    <t>Segment 1</t>
  </si>
  <si>
    <t>Segment 2</t>
  </si>
  <si>
    <t>From worksheet</t>
  </si>
  <si>
    <t>Site type and description</t>
  </si>
  <si>
    <t>Equation A-4 from Part C Appendix</t>
  </si>
  <si>
    <t>Release date:  2/29/2024</t>
  </si>
  <si>
    <t>Worksheet Cell Protection</t>
  </si>
  <si>
    <t>Worksheet cells that are not used for input data are locked and</t>
  </si>
  <si>
    <t>protected to prevent accidental alteration and introduction of errors</t>
  </si>
  <si>
    <t>into the calculation results.  The protection can be deactivated using the</t>
  </si>
  <si>
    <t>"Unprotect Sheet" command button in the Review ribbon if necessary.</t>
  </si>
  <si>
    <t>Segments 1-2 and intersections 1-2 are linked to the analysis worksheets.  Segments 3-8 and intersections 3-8 are described with manual data entry.  Enter a description in the green cells for every row needed to describe the analyzed facility.  Clear the green cells on unneeded rows.</t>
  </si>
  <si>
    <r>
      <t>Predicted average crash frequency, N</t>
    </r>
    <r>
      <rPr>
        <b/>
        <vertAlign val="subscript"/>
        <sz val="10"/>
        <rFont val="Arial"/>
        <family val="2"/>
      </rPr>
      <t>predicted</t>
    </r>
    <r>
      <rPr>
        <sz val="10"/>
        <rFont val="Arial"/>
        <family val="2"/>
      </rPr>
      <t xml:space="preserve"> (crashes/year)</t>
    </r>
  </si>
  <si>
    <r>
      <t>Observed crashes,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>N</t>
    </r>
    <r>
      <rPr>
        <b/>
        <vertAlign val="subscript"/>
        <sz val="10"/>
        <rFont val="Arial"/>
        <family val="2"/>
      </rPr>
      <t>observed</t>
    </r>
    <r>
      <rPr>
        <sz val="10"/>
        <rFont val="Arial"/>
        <family val="2"/>
      </rPr>
      <t xml:space="preserve"> (crashes/year)</t>
    </r>
  </si>
  <si>
    <r>
      <t>Expected average crash frequency, N</t>
    </r>
    <r>
      <rPr>
        <b/>
        <vertAlign val="subscript"/>
        <sz val="10"/>
        <rFont val="Arial"/>
        <family val="2"/>
      </rPr>
      <t>expected</t>
    </r>
    <r>
      <rPr>
        <sz val="10"/>
        <rFont val="Arial"/>
        <family val="2"/>
      </rPr>
      <t xml:space="preserve"> (crashes/year)</t>
    </r>
  </si>
  <si>
    <t>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</si>
</sst>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00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rgb="FF002060"/>
      <name val="Arial"/>
      <family val="2"/>
    </font>
    <font>
      <b/>
      <u/>
      <sz val="10"/>
      <color rgb="FF00206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0E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</borders>
  <cellStyleXfs count="3">
    <xf numFmtId="0" fontId="0" fillId="0" borderId="0"/>
    <xf numFmtId="0" fontId="21" fillId="0" borderId="0"/>
    <xf numFmtId="0" fontId="23" fillId="0" borderId="0" applyNumberFormat="0" applyFill="0" applyBorder="0" applyAlignment="0" applyProtection="0"/>
  </cellStyleXfs>
  <cellXfs count="649">
    <xf numFmtId="0" fontId="0" fillId="0" borderId="0" xfId="0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quotePrefix="1" applyBorder="1" applyAlignment="1">
      <alignment horizontal="center"/>
    </xf>
    <xf numFmtId="0" fontId="6" fillId="0" borderId="0" xfId="0" applyFont="1"/>
    <xf numFmtId="49" fontId="6" fillId="0" borderId="0" xfId="0" applyNumberFormat="1" applyFont="1"/>
    <xf numFmtId="0" fontId="3" fillId="0" borderId="0" xfId="0" applyFont="1"/>
    <xf numFmtId="0" fontId="6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4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0" fillId="0" borderId="8" xfId="0" applyBorder="1"/>
    <xf numFmtId="0" fontId="3" fillId="0" borderId="2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0" xfId="0" applyFont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14" xfId="0" applyBorder="1"/>
    <xf numFmtId="0" fontId="0" fillId="0" borderId="11" xfId="0" applyBorder="1" applyAlignment="1">
      <alignment horizontal="center"/>
    </xf>
    <xf numFmtId="2" fontId="0" fillId="0" borderId="0" xfId="0" applyNumberFormat="1"/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quotePrefix="1" applyAlignment="1">
      <alignment horizontal="center" vertical="top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" xfId="0" quotePrefix="1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0" fillId="0" borderId="0" xfId="0" applyNumberFormat="1"/>
    <xf numFmtId="49" fontId="3" fillId="0" borderId="0" xfId="0" applyNumberFormat="1" applyFont="1"/>
    <xf numFmtId="165" fontId="6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164" fontId="6" fillId="0" borderId="2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Alignment="1">
      <alignment vertical="top"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 vertical="top"/>
    </xf>
    <xf numFmtId="2" fontId="1" fillId="0" borderId="0" xfId="0" quotePrefix="1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20" fontId="1" fillId="0" borderId="0" xfId="0" quotePrefix="1" applyNumberFormat="1" applyFont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1" fontId="1" fillId="0" borderId="0" xfId="0" applyNumberFormat="1" applyFont="1"/>
    <xf numFmtId="164" fontId="0" fillId="0" borderId="17" xfId="0" applyNumberFormat="1" applyBorder="1" applyAlignment="1">
      <alignment horizontal="center"/>
    </xf>
    <xf numFmtId="164" fontId="0" fillId="0" borderId="0" xfId="0" applyNumberFormat="1" applyAlignment="1">
      <alignment horizontal="center" vertical="top"/>
    </xf>
    <xf numFmtId="2" fontId="0" fillId="0" borderId="0" xfId="0" applyNumberFormat="1" applyAlignment="1">
      <alignment horizontal="center" vertical="top"/>
    </xf>
    <xf numFmtId="164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1" fillId="0" borderId="0" xfId="0" quotePrefix="1" applyNumberFormat="1" applyFont="1" applyAlignment="1">
      <alignment horizontal="center" vertical="top"/>
    </xf>
    <xf numFmtId="0" fontId="5" fillId="0" borderId="0" xfId="0" applyFont="1" applyAlignment="1">
      <alignment vertical="center"/>
    </xf>
    <xf numFmtId="0" fontId="1" fillId="0" borderId="18" xfId="0" quotePrefix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0" xfId="0" applyFont="1" applyAlignment="1">
      <alignment vertical="top"/>
    </xf>
    <xf numFmtId="0" fontId="0" fillId="0" borderId="17" xfId="0" applyBorder="1" applyAlignment="1">
      <alignment horizontal="center" vertical="center"/>
    </xf>
    <xf numFmtId="166" fontId="0" fillId="0" borderId="2" xfId="0" applyNumberFormat="1" applyBorder="1" applyAlignment="1">
      <alignment horizontal="center"/>
    </xf>
    <xf numFmtId="164" fontId="1" fillId="0" borderId="2" xfId="0" quotePrefix="1" applyNumberFormat="1" applyFont="1" applyBorder="1" applyAlignment="1">
      <alignment horizontal="center"/>
    </xf>
    <xf numFmtId="166" fontId="0" fillId="0" borderId="17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6" fontId="1" fillId="0" borderId="17" xfId="0" quotePrefix="1" applyNumberFormat="1" applyFont="1" applyBorder="1" applyAlignment="1">
      <alignment horizontal="center" vertical="center"/>
    </xf>
    <xf numFmtId="0" fontId="1" fillId="0" borderId="17" xfId="0" quotePrefix="1" applyFont="1" applyBorder="1" applyAlignment="1">
      <alignment horizontal="center" vertical="center"/>
    </xf>
    <xf numFmtId="0" fontId="17" fillId="0" borderId="0" xfId="0" applyFont="1"/>
    <xf numFmtId="0" fontId="3" fillId="0" borderId="0" xfId="0" applyFont="1" applyAlignment="1">
      <alignment horizontal="center" wrapText="1"/>
    </xf>
    <xf numFmtId="20" fontId="1" fillId="0" borderId="21" xfId="0" quotePrefix="1" applyNumberFormat="1" applyFont="1" applyBorder="1"/>
    <xf numFmtId="20" fontId="1" fillId="0" borderId="18" xfId="0" quotePrefix="1" applyNumberFormat="1" applyFont="1" applyBorder="1"/>
    <xf numFmtId="2" fontId="0" fillId="0" borderId="12" xfId="0" applyNumberFormat="1" applyBorder="1" applyAlignment="1">
      <alignment horizontal="center"/>
    </xf>
    <xf numFmtId="0" fontId="1" fillId="3" borderId="22" xfId="0" applyFont="1" applyFill="1" applyBorder="1" applyAlignment="1">
      <alignment horizontal="right"/>
    </xf>
    <xf numFmtId="3" fontId="0" fillId="3" borderId="23" xfId="0" applyNumberFormat="1" applyFill="1" applyBorder="1" applyAlignment="1">
      <alignment horizontal="center"/>
    </xf>
    <xf numFmtId="0" fontId="1" fillId="3" borderId="24" xfId="0" applyFont="1" applyFill="1" applyBorder="1" applyAlignment="1">
      <alignment horizontal="left"/>
    </xf>
    <xf numFmtId="3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0" fillId="0" borderId="27" xfId="0" applyBorder="1"/>
    <xf numFmtId="0" fontId="1" fillId="0" borderId="1" xfId="0" applyFont="1" applyBorder="1" applyAlignment="1">
      <alignment horizontal="center"/>
    </xf>
    <xf numFmtId="0" fontId="0" fillId="0" borderId="37" xfId="0" applyBorder="1"/>
    <xf numFmtId="0" fontId="1" fillId="0" borderId="27" xfId="0" applyFont="1" applyBorder="1"/>
    <xf numFmtId="0" fontId="0" fillId="0" borderId="39" xfId="0" applyBorder="1"/>
    <xf numFmtId="0" fontId="1" fillId="0" borderId="39" xfId="0" applyFont="1" applyBorder="1"/>
    <xf numFmtId="0" fontId="1" fillId="0" borderId="37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34" xfId="0" applyFont="1" applyBorder="1"/>
    <xf numFmtId="164" fontId="0" fillId="0" borderId="39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0" fillId="4" borderId="15" xfId="0" applyFill="1" applyBorder="1"/>
    <xf numFmtId="164" fontId="21" fillId="4" borderId="3" xfId="1" applyNumberFormat="1" applyFill="1" applyBorder="1"/>
    <xf numFmtId="2" fontId="3" fillId="4" borderId="4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64" fontId="3" fillId="4" borderId="19" xfId="0" applyNumberFormat="1" applyFont="1" applyFill="1" applyBorder="1" applyAlignment="1">
      <alignment horizontal="center"/>
    </xf>
    <xf numFmtId="0" fontId="1" fillId="0" borderId="39" xfId="0" quotePrefix="1" applyFont="1" applyBorder="1" applyAlignment="1">
      <alignment horizontal="center"/>
    </xf>
    <xf numFmtId="0" fontId="3" fillId="0" borderId="39" xfId="0" applyFont="1" applyBorder="1"/>
    <xf numFmtId="0" fontId="1" fillId="0" borderId="9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18" xfId="0" applyFont="1" applyBorder="1" applyAlignment="1">
      <alignment horizontal="center"/>
    </xf>
    <xf numFmtId="164" fontId="0" fillId="0" borderId="27" xfId="0" applyNumberFormat="1" applyBorder="1" applyAlignment="1">
      <alignment horizontal="left"/>
    </xf>
    <xf numFmtId="0" fontId="0" fillId="0" borderId="34" xfId="0" applyBorder="1"/>
    <xf numFmtId="0" fontId="23" fillId="5" borderId="29" xfId="2" applyFill="1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66" fontId="1" fillId="0" borderId="2" xfId="0" applyNumberFormat="1" applyFont="1" applyBorder="1" applyAlignment="1" applyProtection="1">
      <alignment horizontal="center"/>
      <protection locked="0"/>
    </xf>
    <xf numFmtId="166" fontId="0" fillId="0" borderId="2" xfId="0" applyNumberFormat="1" applyBorder="1" applyAlignment="1" applyProtection="1">
      <alignment horizontal="center" vertical="top"/>
      <protection locked="0"/>
    </xf>
    <xf numFmtId="166" fontId="0" fillId="0" borderId="2" xfId="0" applyNumberFormat="1" applyBorder="1" applyAlignment="1" applyProtection="1">
      <alignment vertical="top"/>
      <protection locked="0"/>
    </xf>
    <xf numFmtId="166" fontId="0" fillId="0" borderId="15" xfId="0" applyNumberFormat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5" xfId="0" quotePrefix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 vertical="top"/>
      <protection locked="0"/>
    </xf>
    <xf numFmtId="0" fontId="0" fillId="6" borderId="15" xfId="0" applyFill="1" applyBorder="1"/>
    <xf numFmtId="0" fontId="0" fillId="6" borderId="3" xfId="0" applyFill="1" applyBorder="1"/>
    <xf numFmtId="0" fontId="0" fillId="7" borderId="15" xfId="0" applyFill="1" applyBorder="1"/>
    <xf numFmtId="0" fontId="0" fillId="7" borderId="3" xfId="0" applyFill="1" applyBorder="1"/>
    <xf numFmtId="0" fontId="0" fillId="8" borderId="15" xfId="0" applyFill="1" applyBorder="1"/>
    <xf numFmtId="0" fontId="0" fillId="8" borderId="3" xfId="0" applyFill="1" applyBorder="1"/>
    <xf numFmtId="0" fontId="0" fillId="9" borderId="15" xfId="0" applyFill="1" applyBorder="1"/>
    <xf numFmtId="0" fontId="0" fillId="9" borderId="3" xfId="0" applyFill="1" applyBorder="1"/>
    <xf numFmtId="0" fontId="1" fillId="0" borderId="12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164" fontId="0" fillId="10" borderId="2" xfId="0" applyNumberFormat="1" applyFill="1" applyBorder="1" applyAlignment="1" applyProtection="1">
      <alignment horizontal="center"/>
      <protection locked="0"/>
    </xf>
    <xf numFmtId="164" fontId="0" fillId="10" borderId="5" xfId="0" applyNumberFormat="1" applyFill="1" applyBorder="1" applyAlignment="1" applyProtection="1">
      <alignment horizontal="center"/>
      <protection locked="0"/>
    </xf>
    <xf numFmtId="164" fontId="1" fillId="10" borderId="2" xfId="0" applyNumberFormat="1" applyFont="1" applyFill="1" applyBorder="1" applyAlignment="1" applyProtection="1">
      <alignment horizontal="center"/>
      <protection locked="0"/>
    </xf>
    <xf numFmtId="164" fontId="0" fillId="10" borderId="2" xfId="0" applyNumberFormat="1" applyFill="1" applyBorder="1" applyAlignment="1" applyProtection="1">
      <alignment horizontal="center" vertical="top"/>
      <protection locked="0"/>
    </xf>
    <xf numFmtId="164" fontId="0" fillId="10" borderId="15" xfId="0" applyNumberFormat="1" applyFill="1" applyBorder="1" applyAlignment="1" applyProtection="1">
      <alignment horizontal="center"/>
      <protection locked="0"/>
    </xf>
    <xf numFmtId="1" fontId="0" fillId="10" borderId="17" xfId="0" applyNumberFormat="1" applyFill="1" applyBorder="1" applyAlignment="1" applyProtection="1">
      <alignment horizontal="center" vertical="center"/>
      <protection locked="0"/>
    </xf>
    <xf numFmtId="164" fontId="0" fillId="10" borderId="2" xfId="0" applyNumberFormat="1" applyFill="1" applyBorder="1" applyProtection="1">
      <protection locked="0"/>
    </xf>
    <xf numFmtId="164" fontId="0" fillId="10" borderId="15" xfId="0" applyNumberFormat="1" applyFill="1" applyBorder="1" applyProtection="1">
      <protection locked="0"/>
    </xf>
    <xf numFmtId="164" fontId="0" fillId="8" borderId="2" xfId="0" applyNumberFormat="1" applyFill="1" applyBorder="1" applyAlignment="1" applyProtection="1">
      <alignment horizontal="center"/>
      <protection locked="0"/>
    </xf>
    <xf numFmtId="164" fontId="6" fillId="8" borderId="2" xfId="0" applyNumberFormat="1" applyFont="1" applyFill="1" applyBorder="1" applyAlignment="1" applyProtection="1">
      <alignment horizontal="center"/>
      <protection locked="0"/>
    </xf>
    <xf numFmtId="164" fontId="0" fillId="8" borderId="15" xfId="0" applyNumberFormat="1" applyFill="1" applyBorder="1" applyAlignment="1" applyProtection="1">
      <alignment horizontal="center"/>
      <protection locked="0"/>
    </xf>
    <xf numFmtId="164" fontId="0" fillId="8" borderId="17" xfId="0" applyNumberFormat="1" applyFill="1" applyBorder="1" applyAlignment="1" applyProtection="1">
      <alignment horizontal="center"/>
      <protection locked="0"/>
    </xf>
    <xf numFmtId="164" fontId="0" fillId="8" borderId="19" xfId="0" applyNumberFormat="1" applyFill="1" applyBorder="1" applyAlignment="1" applyProtection="1">
      <alignment horizontal="center"/>
      <protection locked="0"/>
    </xf>
    <xf numFmtId="164" fontId="0" fillId="8" borderId="4" xfId="0" applyNumberFormat="1" applyFill="1" applyBorder="1" applyAlignment="1" applyProtection="1">
      <alignment horizontal="center"/>
      <protection locked="0"/>
    </xf>
    <xf numFmtId="164" fontId="0" fillId="8" borderId="5" xfId="0" applyNumberFormat="1" applyFill="1" applyBorder="1" applyAlignment="1" applyProtection="1">
      <alignment horizontal="center"/>
      <protection locked="0"/>
    </xf>
    <xf numFmtId="164" fontId="0" fillId="8" borderId="6" xfId="0" applyNumberFormat="1" applyFill="1" applyBorder="1" applyAlignment="1" applyProtection="1">
      <alignment horizontal="center"/>
      <protection locked="0"/>
    </xf>
    <xf numFmtId="164" fontId="0" fillId="8" borderId="34" xfId="0" applyNumberFormat="1" applyFill="1" applyBorder="1" applyAlignment="1" applyProtection="1">
      <alignment horizontal="center"/>
      <protection locked="0"/>
    </xf>
    <xf numFmtId="164" fontId="0" fillId="8" borderId="39" xfId="0" applyNumberFormat="1" applyFill="1" applyBorder="1" applyAlignment="1" applyProtection="1">
      <alignment horizontal="center"/>
      <protection locked="0"/>
    </xf>
    <xf numFmtId="165" fontId="0" fillId="8" borderId="3" xfId="0" applyNumberFormat="1" applyFill="1" applyBorder="1" applyAlignment="1" applyProtection="1">
      <alignment horizontal="center"/>
      <protection locked="0"/>
    </xf>
    <xf numFmtId="165" fontId="0" fillId="8" borderId="26" xfId="0" applyNumberFormat="1" applyFill="1" applyBorder="1" applyAlignment="1" applyProtection="1">
      <alignment horizontal="center"/>
      <protection locked="0"/>
    </xf>
    <xf numFmtId="2" fontId="0" fillId="8" borderId="41" xfId="0" applyNumberFormat="1" applyFill="1" applyBorder="1" applyAlignment="1" applyProtection="1">
      <alignment horizontal="center"/>
      <protection locked="0"/>
    </xf>
    <xf numFmtId="2" fontId="0" fillId="8" borderId="0" xfId="0" applyNumberFormat="1" applyFill="1" applyAlignment="1" applyProtection="1">
      <alignment horizontal="center"/>
      <protection locked="0"/>
    </xf>
    <xf numFmtId="2" fontId="0" fillId="8" borderId="42" xfId="0" applyNumberFormat="1" applyFill="1" applyBorder="1" applyAlignment="1" applyProtection="1">
      <alignment horizontal="center"/>
      <protection locked="0"/>
    </xf>
    <xf numFmtId="2" fontId="0" fillId="8" borderId="39" xfId="0" applyNumberFormat="1" applyFill="1" applyBorder="1" applyAlignment="1" applyProtection="1">
      <alignment horizontal="center"/>
      <protection locked="0"/>
    </xf>
    <xf numFmtId="0" fontId="0" fillId="7" borderId="42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1" fillId="7" borderId="4" xfId="0" applyFont="1" applyFill="1" applyBorder="1" applyAlignment="1" applyProtection="1">
      <alignment horizontal="center"/>
      <protection locked="0"/>
    </xf>
    <xf numFmtId="0" fontId="0" fillId="7" borderId="37" xfId="0" applyFill="1" applyBorder="1" applyAlignment="1" applyProtection="1">
      <alignment horizontal="center"/>
      <protection locked="0"/>
    </xf>
    <xf numFmtId="2" fontId="0" fillId="8" borderId="16" xfId="0" applyNumberFormat="1" applyFill="1" applyBorder="1" applyAlignment="1" applyProtection="1">
      <alignment horizontal="center"/>
      <protection locked="0"/>
    </xf>
    <xf numFmtId="2" fontId="0" fillId="8" borderId="34" xfId="0" applyNumberFormat="1" applyFill="1" applyBorder="1" applyAlignment="1" applyProtection="1">
      <alignment horizontal="center"/>
      <protection locked="0"/>
    </xf>
    <xf numFmtId="165" fontId="0" fillId="8" borderId="20" xfId="0" applyNumberFormat="1" applyFill="1" applyBorder="1" applyAlignment="1" applyProtection="1">
      <alignment horizontal="center"/>
      <protection locked="0"/>
    </xf>
    <xf numFmtId="165" fontId="0" fillId="8" borderId="49" xfId="0" applyNumberFormat="1" applyFill="1" applyBorder="1" applyAlignment="1" applyProtection="1">
      <alignment horizontal="center"/>
      <protection locked="0"/>
    </xf>
    <xf numFmtId="165" fontId="0" fillId="8" borderId="52" xfId="0" applyNumberFormat="1" applyFill="1" applyBorder="1" applyAlignment="1" applyProtection="1">
      <alignment horizontal="center"/>
      <protection locked="0"/>
    </xf>
    <xf numFmtId="165" fontId="0" fillId="8" borderId="48" xfId="0" applyNumberFormat="1" applyFill="1" applyBorder="1" applyAlignment="1" applyProtection="1">
      <alignment horizontal="center"/>
      <protection locked="0"/>
    </xf>
    <xf numFmtId="164" fontId="0" fillId="8" borderId="0" xfId="0" applyNumberFormat="1" applyFill="1" applyAlignment="1" applyProtection="1">
      <alignment horizontal="center"/>
      <protection locked="0"/>
    </xf>
    <xf numFmtId="166" fontId="0" fillId="0" borderId="2" xfId="0" applyNumberFormat="1" applyBorder="1" applyAlignment="1">
      <alignment horizontal="center" vertical="top"/>
    </xf>
    <xf numFmtId="166" fontId="0" fillId="0" borderId="15" xfId="0" applyNumberFormat="1" applyBorder="1" applyAlignment="1">
      <alignment horizontal="center"/>
    </xf>
    <xf numFmtId="49" fontId="1" fillId="0" borderId="0" xfId="0" applyNumberFormat="1" applyFont="1"/>
    <xf numFmtId="0" fontId="0" fillId="6" borderId="2" xfId="0" quotePrefix="1" applyFill="1" applyBorder="1" applyAlignment="1" applyProtection="1">
      <alignment horizontal="center"/>
      <protection locked="0"/>
    </xf>
    <xf numFmtId="0" fontId="1" fillId="9" borderId="2" xfId="0" applyFont="1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15" xfId="0" applyFill="1" applyBorder="1" applyProtection="1">
      <protection locked="0"/>
    </xf>
    <xf numFmtId="0" fontId="3" fillId="0" borderId="0" xfId="0" applyFont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28" xfId="0" applyFill="1" applyBorder="1" applyProtection="1">
      <protection locked="0"/>
    </xf>
    <xf numFmtId="0" fontId="6" fillId="0" borderId="2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/>
    <xf numFmtId="0" fontId="0" fillId="0" borderId="0" xfId="0"/>
    <xf numFmtId="0" fontId="0" fillId="0" borderId="7" xfId="0" applyBorder="1"/>
    <xf numFmtId="0" fontId="3" fillId="0" borderId="2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9" borderId="27" xfId="0" applyFill="1" applyBorder="1" applyAlignment="1" applyProtection="1">
      <alignment horizontal="center"/>
      <protection locked="0"/>
    </xf>
    <xf numFmtId="0" fontId="0" fillId="9" borderId="0" xfId="0" applyFill="1" applyAlignment="1" applyProtection="1">
      <alignment horizontal="center"/>
      <protection locked="0"/>
    </xf>
    <xf numFmtId="0" fontId="0" fillId="9" borderId="7" xfId="0" applyFill="1" applyBorder="1" applyAlignment="1" applyProtection="1">
      <alignment horizontal="center"/>
      <protection locked="0"/>
    </xf>
    <xf numFmtId="0" fontId="0" fillId="0" borderId="11" xfId="0" applyBorder="1"/>
    <xf numFmtId="0" fontId="0" fillId="9" borderId="16" xfId="0" applyFill="1" applyBorder="1" applyAlignment="1" applyProtection="1">
      <alignment horizontal="center"/>
      <protection locked="0"/>
    </xf>
    <xf numFmtId="0" fontId="0" fillId="9" borderId="11" xfId="0" applyFill="1" applyBorder="1" applyAlignment="1" applyProtection="1">
      <alignment horizontal="center"/>
      <protection locked="0"/>
    </xf>
    <xf numFmtId="0" fontId="0" fillId="9" borderId="8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6" xfId="0" applyBorder="1"/>
    <xf numFmtId="0" fontId="0" fillId="0" borderId="10" xfId="0" applyBorder="1"/>
    <xf numFmtId="0" fontId="0" fillId="0" borderId="27" xfId="0" applyBorder="1"/>
    <xf numFmtId="0" fontId="0" fillId="9" borderId="26" xfId="0" applyFill="1" applyBorder="1" applyAlignment="1" applyProtection="1">
      <alignment horizontal="center"/>
      <protection locked="0"/>
    </xf>
    <xf numFmtId="0" fontId="0" fillId="9" borderId="20" xfId="0" applyFill="1" applyBorder="1" applyAlignment="1" applyProtection="1">
      <alignment horizontal="center"/>
      <protection locked="0"/>
    </xf>
    <xf numFmtId="14" fontId="0" fillId="9" borderId="27" xfId="0" applyNumberFormat="1" applyFill="1" applyBorder="1" applyAlignment="1" applyProtection="1">
      <alignment horizontal="center"/>
      <protection locked="0"/>
    </xf>
    <xf numFmtId="14" fontId="0" fillId="9" borderId="0" xfId="0" applyNumberFormat="1" applyFill="1" applyAlignment="1" applyProtection="1">
      <alignment horizontal="center"/>
      <protection locked="0"/>
    </xf>
    <xf numFmtId="14" fontId="0" fillId="9" borderId="7" xfId="0" applyNumberFormat="1" applyFill="1" applyBorder="1" applyAlignment="1" applyProtection="1">
      <alignment horizontal="center"/>
      <protection locked="0"/>
    </xf>
    <xf numFmtId="0" fontId="1" fillId="0" borderId="28" xfId="0" applyFont="1" applyBorder="1"/>
    <xf numFmtId="0" fontId="0" fillId="0" borderId="28" xfId="0" applyBorder="1"/>
    <xf numFmtId="0" fontId="0" fillId="0" borderId="12" xfId="0" applyBorder="1"/>
    <xf numFmtId="0" fontId="1" fillId="0" borderId="16" xfId="0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10" borderId="16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3" fillId="0" borderId="2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0" fillId="10" borderId="4" xfId="0" applyNumberFormat="1" applyFill="1" applyBorder="1" applyAlignment="1" applyProtection="1">
      <alignment horizontal="center"/>
      <protection locked="0"/>
    </xf>
    <xf numFmtId="3" fontId="0" fillId="10" borderId="28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28" xfId="0" applyFill="1" applyBorder="1"/>
    <xf numFmtId="0" fontId="1" fillId="0" borderId="4" xfId="0" applyFont="1" applyBorder="1" applyAlignment="1">
      <alignment horizontal="center"/>
    </xf>
    <xf numFmtId="0" fontId="1" fillId="7" borderId="4" xfId="0" applyFont="1" applyFill="1" applyBorder="1" applyAlignment="1" applyProtection="1">
      <alignment horizontal="center"/>
      <protection locked="0"/>
    </xf>
    <xf numFmtId="0" fontId="1" fillId="0" borderId="30" xfId="0" applyFont="1" applyBorder="1"/>
    <xf numFmtId="0" fontId="0" fillId="0" borderId="30" xfId="0" applyBorder="1"/>
    <xf numFmtId="0" fontId="0" fillId="0" borderId="31" xfId="0" applyBorder="1"/>
    <xf numFmtId="2" fontId="0" fillId="0" borderId="32" xfId="0" applyNumberFormat="1" applyBorder="1" applyAlignment="1">
      <alignment horizontal="center"/>
    </xf>
    <xf numFmtId="2" fontId="0" fillId="0" borderId="31" xfId="0" applyNumberFormat="1" applyBorder="1"/>
    <xf numFmtId="2" fontId="0" fillId="8" borderId="32" xfId="0" applyNumberFormat="1" applyFill="1" applyBorder="1" applyAlignment="1" applyProtection="1">
      <alignment horizontal="center"/>
      <protection locked="0"/>
    </xf>
    <xf numFmtId="0" fontId="0" fillId="8" borderId="30" xfId="0" applyFill="1" applyBorder="1" applyProtection="1">
      <protection locked="0"/>
    </xf>
    <xf numFmtId="0" fontId="0" fillId="0" borderId="21" xfId="0" quotePrefix="1" applyBorder="1" applyAlignment="1">
      <alignment horizontal="center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26" xfId="0" applyBorder="1" applyAlignment="1">
      <alignment wrapText="1"/>
    </xf>
    <xf numFmtId="0" fontId="4" fillId="0" borderId="2" xfId="0" applyFont="1" applyBorder="1" applyAlignment="1">
      <alignment horizontal="center"/>
    </xf>
    <xf numFmtId="0" fontId="0" fillId="0" borderId="4" xfId="0" applyBorder="1"/>
    <xf numFmtId="0" fontId="0" fillId="0" borderId="18" xfId="0" applyBorder="1"/>
    <xf numFmtId="0" fontId="1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quotePrefix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13" xfId="0" applyBorder="1"/>
    <xf numFmtId="2" fontId="0" fillId="0" borderId="6" xfId="0" applyNumberFormat="1" applyBorder="1" applyAlignment="1">
      <alignment horizontal="center"/>
    </xf>
    <xf numFmtId="0" fontId="0" fillId="0" borderId="33" xfId="0" applyBorder="1"/>
    <xf numFmtId="2" fontId="0" fillId="0" borderId="13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" xfId="0" quotePrefix="1" applyFont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2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64" fontId="3" fillId="4" borderId="28" xfId="0" applyNumberFormat="1" applyFont="1" applyFill="1" applyBorder="1" applyAlignment="1">
      <alignment horizontal="center"/>
    </xf>
    <xf numFmtId="2" fontId="1" fillId="0" borderId="16" xfId="0" quotePrefix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12" xfId="0" applyFont="1" applyBorder="1"/>
    <xf numFmtId="2" fontId="2" fillId="0" borderId="36" xfId="0" applyNumberFormat="1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37" xfId="0" quotePrefix="1" applyBorder="1" applyAlignment="1">
      <alignment horizontal="center"/>
    </xf>
    <xf numFmtId="0" fontId="0" fillId="0" borderId="21" xfId="0" applyBorder="1"/>
    <xf numFmtId="0" fontId="0" fillId="0" borderId="18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38" xfId="0" quotePrefix="1" applyBorder="1" applyAlignment="1">
      <alignment horizontal="center"/>
    </xf>
    <xf numFmtId="0" fontId="0" fillId="0" borderId="36" xfId="0" quotePrefix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0" fillId="0" borderId="36" xfId="0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164" fontId="3" fillId="4" borderId="33" xfId="0" applyNumberFormat="1" applyFont="1" applyFill="1" applyBorder="1" applyAlignment="1">
      <alignment horizontal="center"/>
    </xf>
    <xf numFmtId="2" fontId="3" fillId="4" borderId="16" xfId="0" quotePrefix="1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2" fontId="1" fillId="0" borderId="2" xfId="0" quotePrefix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2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2" fontId="1" fillId="0" borderId="13" xfId="0" applyNumberFormat="1" applyFont="1" applyBorder="1" applyAlignment="1">
      <alignment horizontal="left"/>
    </xf>
    <xf numFmtId="0" fontId="0" fillId="0" borderId="5" xfId="0" applyBorder="1"/>
    <xf numFmtId="0" fontId="1" fillId="0" borderId="21" xfId="0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165" fontId="3" fillId="4" borderId="2" xfId="0" applyNumberFormat="1" applyFont="1" applyFill="1" applyBorder="1" applyAlignment="1">
      <alignment horizontal="center"/>
    </xf>
    <xf numFmtId="164" fontId="1" fillId="0" borderId="1" xfId="0" quotePrefix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165" fontId="3" fillId="4" borderId="5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left"/>
    </xf>
    <xf numFmtId="0" fontId="0" fillId="0" borderId="28" xfId="0" applyBorder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6" xfId="0" applyBorder="1"/>
    <xf numFmtId="0" fontId="0" fillId="0" borderId="13" xfId="0" applyBorder="1" applyAlignment="1">
      <alignment horizontal="center"/>
    </xf>
    <xf numFmtId="0" fontId="2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1" xfId="0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2" xfId="0" applyFont="1" applyBorder="1"/>
    <xf numFmtId="0" fontId="0" fillId="0" borderId="11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65" fontId="0" fillId="0" borderId="17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5" fontId="0" fillId="8" borderId="46" xfId="0" applyNumberFormat="1" applyFill="1" applyBorder="1" applyAlignment="1" applyProtection="1">
      <alignment horizontal="center"/>
      <protection locked="0"/>
    </xf>
    <xf numFmtId="165" fontId="0" fillId="8" borderId="45" xfId="0" applyNumberFormat="1" applyFill="1" applyBorder="1" applyAlignment="1" applyProtection="1">
      <alignment horizontal="center"/>
      <protection locked="0"/>
    </xf>
    <xf numFmtId="165" fontId="0" fillId="0" borderId="3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5" fontId="0" fillId="0" borderId="45" xfId="0" applyNumberFormat="1" applyBorder="1" applyAlignment="1">
      <alignment horizontal="center"/>
    </xf>
    <xf numFmtId="165" fontId="0" fillId="8" borderId="3" xfId="0" applyNumberFormat="1" applyFill="1" applyBorder="1" applyAlignment="1" applyProtection="1">
      <alignment horizontal="center"/>
      <protection locked="0"/>
    </xf>
    <xf numFmtId="165" fontId="0" fillId="8" borderId="26" xfId="0" applyNumberFormat="1" applyFill="1" applyBorder="1" applyAlignment="1" applyProtection="1">
      <alignment horizontal="center"/>
      <protection locked="0"/>
    </xf>
    <xf numFmtId="165" fontId="0" fillId="8" borderId="2" xfId="0" applyNumberFormat="1" applyFill="1" applyBorder="1" applyAlignment="1" applyProtection="1">
      <alignment horizontal="center"/>
      <protection locked="0"/>
    </xf>
    <xf numFmtId="165" fontId="0" fillId="8" borderId="4" xfId="0" applyNumberFormat="1" applyFill="1" applyBorder="1" applyAlignment="1" applyProtection="1">
      <alignment horizontal="center"/>
      <protection locked="0"/>
    </xf>
    <xf numFmtId="49" fontId="1" fillId="0" borderId="4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1" fillId="0" borderId="39" xfId="0" applyFont="1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39" xfId="0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0" fillId="0" borderId="3" xfId="0" applyBorder="1"/>
    <xf numFmtId="49" fontId="3" fillId="0" borderId="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49" fontId="1" fillId="0" borderId="43" xfId="0" applyNumberFormat="1" applyFont="1" applyBorder="1" applyAlignment="1">
      <alignment horizontal="left"/>
    </xf>
    <xf numFmtId="49" fontId="1" fillId="0" borderId="44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/>
    </xf>
    <xf numFmtId="0" fontId="2" fillId="0" borderId="36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0" fillId="0" borderId="36" xfId="0" applyBorder="1"/>
    <xf numFmtId="0" fontId="1" fillId="0" borderId="40" xfId="0" applyFont="1" applyBorder="1"/>
    <xf numFmtId="0" fontId="0" fillId="0" borderId="17" xfId="0" applyBorder="1"/>
    <xf numFmtId="0" fontId="3" fillId="0" borderId="3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0" fillId="0" borderId="20" xfId="0" applyBorder="1" applyAlignment="1">
      <alignment vertical="top"/>
    </xf>
    <xf numFmtId="0" fontId="0" fillId="0" borderId="10" xfId="0" applyBorder="1" applyAlignment="1">
      <alignment vertical="top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0" fillId="0" borderId="0" xfId="0" applyAlignment="1">
      <alignment wrapText="1"/>
    </xf>
    <xf numFmtId="1" fontId="1" fillId="0" borderId="21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164" fontId="0" fillId="8" borderId="5" xfId="0" applyNumberFormat="1" applyFill="1" applyBorder="1" applyAlignment="1" applyProtection="1">
      <alignment horizontal="center"/>
      <protection locked="0"/>
    </xf>
    <xf numFmtId="164" fontId="0" fillId="8" borderId="6" xfId="0" applyNumberForma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3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" fillId="0" borderId="27" xfId="0" applyFont="1" applyBorder="1"/>
    <xf numFmtId="0" fontId="1" fillId="0" borderId="28" xfId="0" applyFont="1" applyBorder="1" applyAlignment="1">
      <alignment horizontal="left"/>
    </xf>
    <xf numFmtId="0" fontId="0" fillId="0" borderId="12" xfId="0" quotePrefix="1" applyBorder="1" applyAlignment="1">
      <alignment horizontal="center"/>
    </xf>
    <xf numFmtId="0" fontId="0" fillId="0" borderId="16" xfId="0" quotePrefix="1" applyBorder="1" applyAlignment="1">
      <alignment horizontal="center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11" xfId="0" applyFill="1" applyBorder="1" applyProtection="1">
      <protection locked="0"/>
    </xf>
    <xf numFmtId="0" fontId="23" fillId="5" borderId="54" xfId="2" applyFill="1" applyBorder="1" applyAlignment="1">
      <alignment horizontal="center" vertical="center"/>
    </xf>
    <xf numFmtId="0" fontId="23" fillId="5" borderId="55" xfId="2" applyFill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2" fontId="1" fillId="0" borderId="11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10" borderId="28" xfId="0" applyFill="1" applyBorder="1" applyProtection="1">
      <protection locked="0"/>
    </xf>
    <xf numFmtId="0" fontId="1" fillId="0" borderId="10" xfId="0" applyFont="1" applyBorder="1" applyAlignment="1">
      <alignment horizontal="left"/>
    </xf>
    <xf numFmtId="0" fontId="0" fillId="7" borderId="28" xfId="0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2" fontId="1" fillId="0" borderId="36" xfId="0" applyNumberFormat="1" applyFont="1" applyBorder="1" applyAlignment="1">
      <alignment horizontal="left"/>
    </xf>
    <xf numFmtId="0" fontId="3" fillId="4" borderId="28" xfId="0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0" fillId="0" borderId="15" xfId="0" applyBorder="1"/>
    <xf numFmtId="0" fontId="1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2" fontId="3" fillId="4" borderId="15" xfId="0" applyNumberFormat="1" applyFont="1" applyFill="1" applyBorder="1" applyAlignment="1">
      <alignment horizontal="center"/>
    </xf>
    <xf numFmtId="2" fontId="3" fillId="4" borderId="16" xfId="0" applyNumberFormat="1" applyFont="1" applyFill="1" applyBorder="1" applyAlignment="1">
      <alignment horizontal="center"/>
    </xf>
    <xf numFmtId="0" fontId="1" fillId="0" borderId="41" xfId="0" quotePrefix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5" xfId="0" quotePrefix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18" xfId="0" quotePrefix="1" applyFont="1" applyBorder="1" applyAlignment="1">
      <alignment horizontal="center"/>
    </xf>
    <xf numFmtId="0" fontId="1" fillId="0" borderId="37" xfId="0" quotePrefix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/>
    <xf numFmtId="2" fontId="1" fillId="0" borderId="33" xfId="0" applyNumberFormat="1" applyFont="1" applyBorder="1" applyAlignment="1">
      <alignment horizontal="left"/>
    </xf>
    <xf numFmtId="2" fontId="0" fillId="0" borderId="33" xfId="0" applyNumberFormat="1" applyBorder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0" fillId="0" borderId="4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5" fontId="3" fillId="4" borderId="4" xfId="0" applyNumberFormat="1" applyFont="1" applyFill="1" applyBorder="1" applyAlignment="1">
      <alignment horizontal="center"/>
    </xf>
    <xf numFmtId="165" fontId="3" fillId="4" borderId="28" xfId="0" applyNumberFormat="1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/>
    </xf>
    <xf numFmtId="165" fontId="3" fillId="4" borderId="33" xfId="0" applyNumberFormat="1" applyFont="1" applyFill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2" fontId="1" fillId="0" borderId="4" xfId="0" applyNumberFormat="1" applyFont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8" xfId="0" applyFont="1" applyBorder="1"/>
    <xf numFmtId="0" fontId="1" fillId="0" borderId="26" xfId="0" applyFont="1" applyBorder="1"/>
    <xf numFmtId="0" fontId="1" fillId="0" borderId="10" xfId="0" applyFont="1" applyBorder="1"/>
    <xf numFmtId="2" fontId="1" fillId="0" borderId="15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50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3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center"/>
    </xf>
    <xf numFmtId="0" fontId="0" fillId="0" borderId="42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0" fillId="0" borderId="34" xfId="0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/>
    </xf>
    <xf numFmtId="164" fontId="0" fillId="8" borderId="2" xfId="0" applyNumberFormat="1" applyFill="1" applyBorder="1" applyAlignment="1" applyProtection="1">
      <alignment horizontal="center"/>
      <protection locked="0"/>
    </xf>
    <xf numFmtId="164" fontId="0" fillId="8" borderId="4" xfId="0" applyNumberForma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7" fillId="0" borderId="28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56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0" fillId="0" borderId="5" xfId="0" applyBorder="1" applyAlignment="1">
      <alignment vertical="center" wrapText="1"/>
    </xf>
    <xf numFmtId="0" fontId="3" fillId="0" borderId="12" xfId="0" applyFont="1" applyBorder="1" applyAlignment="1">
      <alignment horizontal="left"/>
    </xf>
    <xf numFmtId="165" fontId="0" fillId="0" borderId="6" xfId="0" applyNumberFormat="1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3" fillId="4" borderId="33" xfId="0" applyNumberFormat="1" applyFont="1" applyFill="1" applyBorder="1"/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65" fontId="1" fillId="0" borderId="4" xfId="0" applyNumberFormat="1" applyFont="1" applyBorder="1" applyAlignment="1">
      <alignment horizontal="center"/>
    </xf>
    <xf numFmtId="165" fontId="1" fillId="0" borderId="28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3" fillId="4" borderId="28" xfId="0" applyNumberFormat="1" applyFont="1" applyFill="1" applyBorder="1"/>
    <xf numFmtId="165" fontId="0" fillId="0" borderId="4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0" fontId="3" fillId="4" borderId="28" xfId="0" applyFont="1" applyFill="1" applyBorder="1"/>
    <xf numFmtId="0" fontId="1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3" fillId="0" borderId="12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5" xfId="0" applyBorder="1" applyAlignment="1">
      <alignment vertical="top"/>
    </xf>
    <xf numFmtId="0" fontId="3" fillId="0" borderId="5" xfId="0" applyFont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3" xfId="1" xr:uid="{00000000-0005-0000-0000-000001000000}"/>
  </cellStyles>
  <dxfs count="33">
    <dxf>
      <font>
        <b/>
        <i val="0"/>
      </font>
      <fill>
        <patternFill>
          <bgColor rgb="FFFFCCFF"/>
        </patternFill>
      </fill>
    </dxf>
    <dxf>
      <font>
        <b val="0"/>
        <i val="0"/>
        <color theme="0" tint="-0.24994659260841701"/>
      </font>
      <fill>
        <patternFill patternType="solid">
          <bgColor theme="0" tint="-0.24994659260841701"/>
        </patternFill>
      </fill>
    </dxf>
    <dxf>
      <font>
        <strike val="0"/>
        <color theme="0" tint="-0.24994659260841701"/>
      </font>
      <fill>
        <patternFill>
          <bgColor theme="0" tint="-0.24994659260841701"/>
        </patternFill>
      </fill>
    </dxf>
    <dxf>
      <font>
        <b val="0"/>
        <i val="0"/>
        <strike val="0"/>
        <color auto="1"/>
      </font>
      <fill>
        <patternFill patternType="none">
          <bgColor auto="1"/>
        </patternFill>
      </fill>
    </dxf>
    <dxf>
      <font>
        <b val="0"/>
        <i val="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 val="0"/>
        <i val="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 val="0"/>
        <i val="0"/>
      </font>
    </dxf>
    <dxf>
      <font>
        <strike val="0"/>
        <color theme="0" tint="-0.24994659260841701"/>
      </font>
      <fill>
        <patternFill>
          <bgColor theme="0" tint="-0.24994659260841701"/>
        </patternFill>
      </fill>
    </dxf>
    <dxf>
      <font>
        <b val="0"/>
        <i val="0"/>
        <strike val="0"/>
        <color auto="1"/>
      </font>
      <fill>
        <patternFill>
          <bgColor rgb="FF66FFFF"/>
        </patternFill>
      </fill>
    </dxf>
    <dxf>
      <font>
        <b val="0"/>
        <i val="0"/>
        <strike val="0"/>
      </font>
      <fill>
        <patternFill>
          <bgColor rgb="FF66FFFF"/>
        </patternFill>
      </fill>
    </dxf>
    <dxf>
      <font>
        <b val="0"/>
        <i val="0"/>
        <strike val="0"/>
      </font>
      <fill>
        <patternFill>
          <bgColor rgb="FF66FFFF"/>
        </patternFill>
      </fill>
    </dxf>
    <dxf>
      <font>
        <b val="0"/>
        <i val="0"/>
        <strike val="0"/>
      </font>
      <fill>
        <patternFill>
          <bgColor rgb="FF66FFFF"/>
        </patternFill>
      </fill>
    </dxf>
    <dxf>
      <font>
        <b val="0"/>
        <i val="0"/>
        <strike val="0"/>
        <color theme="0" tint="-0.24994659260841701"/>
      </font>
      <fill>
        <patternFill>
          <bgColor theme="0" tint="-0.24994659260841701"/>
        </patternFill>
      </fill>
    </dxf>
    <dxf>
      <font>
        <strike val="0"/>
        <color theme="0" tint="-0.24994659260841701"/>
      </font>
      <fill>
        <patternFill>
          <bgColor theme="0" tint="-0.24994659260841701"/>
        </patternFill>
      </fill>
    </dxf>
    <dxf>
      <font>
        <b val="0"/>
        <i val="0"/>
        <strike val="0"/>
        <color theme="0" tint="-0.24994659260841701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rgb="FFFFCCFF"/>
        </patternFill>
      </fill>
    </dxf>
    <dxf>
      <font>
        <b val="0"/>
        <i val="0"/>
        <strike val="0"/>
      </font>
    </dxf>
    <dxf>
      <font>
        <b val="0"/>
        <i val="0"/>
        <strike val="0"/>
      </font>
    </dxf>
    <dxf>
      <font>
        <b val="0"/>
        <i val="0"/>
      </font>
    </dxf>
    <dxf>
      <font>
        <b/>
        <i val="0"/>
        <strike val="0"/>
        <color rgb="FFC00000"/>
      </font>
    </dxf>
    <dxf>
      <font>
        <strike val="0"/>
        <color theme="0" tint="-0.499984740745262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>
          <bgColor theme="4" tint="0.3999450666829432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strike val="0"/>
        <color theme="0" tint="-0.499984740745262"/>
      </font>
      <fill>
        <patternFill patternType="none">
          <bgColor auto="1"/>
        </patternFill>
      </fill>
    </dxf>
    <dxf>
      <font>
        <strike val="0"/>
        <color auto="1"/>
      </font>
    </dxf>
    <dxf>
      <font>
        <b/>
        <i val="0"/>
        <strike val="0"/>
        <color rgb="FFC00000"/>
      </font>
    </dxf>
    <dxf>
      <font>
        <b/>
        <i val="0"/>
        <color rgb="FFC00000"/>
      </font>
    </dxf>
    <dxf>
      <font>
        <b/>
        <i val="0"/>
        <strike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mruColors>
      <color rgb="FF66FFFF"/>
      <color rgb="FF00FFFF"/>
      <color rgb="FFFFCCFF"/>
      <color rgb="FFFFFF99"/>
      <color rgb="FF99FF99"/>
      <color rgb="FFE69F00"/>
      <color rgb="FFF0E4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13</xdr:row>
      <xdr:rowOff>167640</xdr:rowOff>
    </xdr:from>
    <xdr:to>
      <xdr:col>14</xdr:col>
      <xdr:colOff>4084320</xdr:colOff>
      <xdr:row>31</xdr:row>
      <xdr:rowOff>76200</xdr:rowOff>
    </xdr:to>
    <xdr:pic>
      <xdr:nvPicPr>
        <xdr:cNvPr id="4102" name="Picture 1">
          <a:extLst>
            <a:ext uri="{FF2B5EF4-FFF2-40B4-BE49-F238E27FC236}">
              <a16:creationId xmlns:a16="http://schemas.microsoft.com/office/drawing/2014/main" id="{A3E2AA60-0F4F-6165-9CBE-2E62C1E09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0760" y="2103120"/>
          <a:ext cx="4084320" cy="30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xdot.gov/apps/statewide_mapping/StatewidePlanningMap.html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xdot.gov/apps/statewide_mapping/StatewidePlanningMap.html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txdot.gov/apps/statewide_mapping/StatewidePlanningMap.html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87"/>
  <sheetViews>
    <sheetView tabSelected="1" workbookViewId="0"/>
  </sheetViews>
  <sheetFormatPr defaultRowHeight="13.2"/>
  <sheetData>
    <row r="2" spans="2:16">
      <c r="B2" s="220" t="s">
        <v>371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2:16">
      <c r="B3" s="220" t="s">
        <v>514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2:16">
      <c r="B4" s="220" t="s">
        <v>568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6" spans="2:16">
      <c r="B6" s="102" t="s">
        <v>283</v>
      </c>
      <c r="K6" s="102" t="s">
        <v>321</v>
      </c>
    </row>
    <row r="8" spans="2:16">
      <c r="B8" s="26" t="s">
        <v>530</v>
      </c>
      <c r="K8" s="26" t="s">
        <v>546</v>
      </c>
    </row>
    <row r="9" spans="2:16">
      <c r="B9" s="26" t="s">
        <v>542</v>
      </c>
      <c r="K9" s="26" t="s">
        <v>466</v>
      </c>
    </row>
    <row r="10" spans="2:16">
      <c r="B10" s="26" t="s">
        <v>531</v>
      </c>
      <c r="K10" s="26" t="s">
        <v>543</v>
      </c>
    </row>
    <row r="11" spans="2:16">
      <c r="B11" s="26" t="s">
        <v>532</v>
      </c>
      <c r="K11" s="26" t="s">
        <v>544</v>
      </c>
    </row>
    <row r="12" spans="2:16">
      <c r="B12" s="26"/>
      <c r="K12" s="26" t="s">
        <v>545</v>
      </c>
    </row>
    <row r="13" spans="2:16">
      <c r="B13" s="26" t="s">
        <v>533</v>
      </c>
      <c r="K13" s="26" t="s">
        <v>467</v>
      </c>
    </row>
    <row r="14" spans="2:16">
      <c r="B14" s="26" t="s">
        <v>534</v>
      </c>
      <c r="K14" s="26"/>
    </row>
    <row r="15" spans="2:16">
      <c r="B15" s="26" t="s">
        <v>535</v>
      </c>
      <c r="K15" s="102" t="s">
        <v>322</v>
      </c>
      <c r="M15" s="102" t="s">
        <v>323</v>
      </c>
    </row>
    <row r="16" spans="2:16">
      <c r="B16" s="26" t="s">
        <v>536</v>
      </c>
    </row>
    <row r="17" spans="2:13">
      <c r="B17" s="26" t="s">
        <v>537</v>
      </c>
      <c r="K17" s="166"/>
      <c r="M17" s="26" t="s">
        <v>550</v>
      </c>
    </row>
    <row r="18" spans="2:13">
      <c r="B18" s="26" t="s">
        <v>538</v>
      </c>
      <c r="K18" s="167"/>
      <c r="M18" s="26"/>
    </row>
    <row r="19" spans="2:13">
      <c r="B19" s="26"/>
    </row>
    <row r="20" spans="2:13">
      <c r="B20" s="26" t="s">
        <v>539</v>
      </c>
      <c r="K20" s="168"/>
      <c r="M20" s="26" t="s">
        <v>551</v>
      </c>
    </row>
    <row r="21" spans="2:13">
      <c r="B21" s="26" t="s">
        <v>540</v>
      </c>
      <c r="K21" s="169"/>
      <c r="M21" s="26" t="s">
        <v>552</v>
      </c>
    </row>
    <row r="22" spans="2:13">
      <c r="B22" s="26" t="s">
        <v>541</v>
      </c>
      <c r="M22" s="26"/>
    </row>
    <row r="23" spans="2:13">
      <c r="K23" s="170"/>
      <c r="M23" s="26" t="s">
        <v>553</v>
      </c>
    </row>
    <row r="24" spans="2:13">
      <c r="B24" s="26" t="s">
        <v>280</v>
      </c>
      <c r="K24" s="171"/>
      <c r="M24" s="26" t="s">
        <v>554</v>
      </c>
    </row>
    <row r="25" spans="2:13">
      <c r="M25" s="26" t="s">
        <v>555</v>
      </c>
    </row>
    <row r="26" spans="2:13">
      <c r="B26" s="102" t="s">
        <v>281</v>
      </c>
      <c r="E26" s="102" t="s">
        <v>282</v>
      </c>
      <c r="M26" s="26" t="s">
        <v>556</v>
      </c>
    </row>
    <row r="27" spans="2:13">
      <c r="M27" s="26" t="s">
        <v>502</v>
      </c>
    </row>
    <row r="28" spans="2:13">
      <c r="B28" s="26" t="s">
        <v>284</v>
      </c>
      <c r="E28" s="26" t="s">
        <v>285</v>
      </c>
      <c r="M28" s="26" t="s">
        <v>503</v>
      </c>
    </row>
    <row r="29" spans="2:13">
      <c r="E29" s="26" t="s">
        <v>286</v>
      </c>
      <c r="M29" s="26" t="s">
        <v>504</v>
      </c>
    </row>
    <row r="30" spans="2:13">
      <c r="E30" s="26" t="s">
        <v>287</v>
      </c>
      <c r="M30" s="26" t="s">
        <v>557</v>
      </c>
    </row>
    <row r="31" spans="2:13">
      <c r="M31" s="26" t="s">
        <v>324</v>
      </c>
    </row>
    <row r="32" spans="2:13">
      <c r="B32" s="26" t="s">
        <v>288</v>
      </c>
      <c r="E32" s="26" t="s">
        <v>289</v>
      </c>
      <c r="M32" s="26" t="s">
        <v>468</v>
      </c>
    </row>
    <row r="33" spans="2:18">
      <c r="E33" s="26" t="s">
        <v>405</v>
      </c>
      <c r="M33" s="26" t="s">
        <v>558</v>
      </c>
      <c r="R33" s="26"/>
    </row>
    <row r="34" spans="2:18">
      <c r="E34" s="26" t="s">
        <v>293</v>
      </c>
      <c r="M34" s="26" t="s">
        <v>559</v>
      </c>
    </row>
    <row r="35" spans="2:18">
      <c r="E35" s="26" t="s">
        <v>300</v>
      </c>
      <c r="M35" s="26" t="s">
        <v>505</v>
      </c>
      <c r="R35" s="26"/>
    </row>
    <row r="36" spans="2:18">
      <c r="M36" s="26" t="s">
        <v>325</v>
      </c>
    </row>
    <row r="37" spans="2:18">
      <c r="B37" s="26" t="s">
        <v>296</v>
      </c>
      <c r="E37" s="26" t="s">
        <v>290</v>
      </c>
      <c r="M37" s="26" t="s">
        <v>326</v>
      </c>
      <c r="R37" s="26"/>
    </row>
    <row r="38" spans="2:18">
      <c r="E38" s="26" t="s">
        <v>399</v>
      </c>
    </row>
    <row r="39" spans="2:18">
      <c r="E39" s="26" t="s">
        <v>547</v>
      </c>
      <c r="K39" s="172"/>
      <c r="M39" s="26" t="s">
        <v>506</v>
      </c>
    </row>
    <row r="40" spans="2:18">
      <c r="E40" s="26" t="s">
        <v>299</v>
      </c>
      <c r="K40" s="173"/>
      <c r="M40" s="26" t="s">
        <v>507</v>
      </c>
    </row>
    <row r="42" spans="2:18">
      <c r="B42" s="26" t="s">
        <v>360</v>
      </c>
      <c r="E42" s="26" t="s">
        <v>361</v>
      </c>
      <c r="K42" s="137"/>
      <c r="M42" s="26" t="s">
        <v>469</v>
      </c>
      <c r="R42" s="26"/>
    </row>
    <row r="43" spans="2:18">
      <c r="E43" s="26" t="s">
        <v>362</v>
      </c>
      <c r="K43" s="138"/>
      <c r="M43" s="26" t="s">
        <v>470</v>
      </c>
    </row>
    <row r="44" spans="2:18">
      <c r="E44" s="26" t="s">
        <v>363</v>
      </c>
      <c r="M44" s="26" t="s">
        <v>471</v>
      </c>
    </row>
    <row r="45" spans="2:18">
      <c r="E45" s="26" t="s">
        <v>364</v>
      </c>
      <c r="M45" s="111"/>
    </row>
    <row r="46" spans="2:18">
      <c r="E46" s="26" t="s">
        <v>369</v>
      </c>
    </row>
    <row r="47" spans="2:18">
      <c r="E47" s="26" t="s">
        <v>400</v>
      </c>
      <c r="K47" s="102" t="s">
        <v>515</v>
      </c>
    </row>
    <row r="48" spans="2:18">
      <c r="E48" s="26" t="s">
        <v>401</v>
      </c>
    </row>
    <row r="49" spans="2:13">
      <c r="E49" s="26" t="s">
        <v>402</v>
      </c>
      <c r="K49" s="26" t="s">
        <v>516</v>
      </c>
    </row>
    <row r="50" spans="2:13">
      <c r="E50" s="26" t="s">
        <v>404</v>
      </c>
      <c r="K50" s="26" t="s">
        <v>520</v>
      </c>
    </row>
    <row r="51" spans="2:13">
      <c r="E51" s="26"/>
      <c r="K51" s="26" t="s">
        <v>517</v>
      </c>
    </row>
    <row r="52" spans="2:13">
      <c r="B52" s="26" t="s">
        <v>291</v>
      </c>
      <c r="E52" s="26" t="s">
        <v>292</v>
      </c>
      <c r="K52" s="26" t="s">
        <v>518</v>
      </c>
    </row>
    <row r="53" spans="2:13">
      <c r="E53" s="26" t="s">
        <v>403</v>
      </c>
      <c r="K53" s="26"/>
    </row>
    <row r="54" spans="2:13">
      <c r="E54" s="26" t="s">
        <v>293</v>
      </c>
      <c r="K54" s="166"/>
      <c r="M54" s="26" t="s">
        <v>560</v>
      </c>
    </row>
    <row r="55" spans="2:13">
      <c r="E55" s="26" t="s">
        <v>294</v>
      </c>
      <c r="K55" s="169"/>
      <c r="M55" s="26" t="s">
        <v>519</v>
      </c>
    </row>
    <row r="56" spans="2:13">
      <c r="E56" s="26"/>
    </row>
    <row r="57" spans="2:13">
      <c r="B57" s="26" t="s">
        <v>365</v>
      </c>
      <c r="E57" s="26" t="s">
        <v>406</v>
      </c>
    </row>
    <row r="58" spans="2:13">
      <c r="E58" s="26" t="s">
        <v>366</v>
      </c>
      <c r="K58" s="102" t="s">
        <v>569</v>
      </c>
    </row>
    <row r="59" spans="2:13">
      <c r="E59" s="26" t="s">
        <v>367</v>
      </c>
    </row>
    <row r="60" spans="2:13">
      <c r="E60" s="26" t="s">
        <v>368</v>
      </c>
      <c r="K60" s="26" t="s">
        <v>570</v>
      </c>
    </row>
    <row r="61" spans="2:13">
      <c r="K61" s="26" t="s">
        <v>571</v>
      </c>
    </row>
    <row r="62" spans="2:13">
      <c r="B62" s="26" t="s">
        <v>295</v>
      </c>
      <c r="E62" s="26" t="s">
        <v>311</v>
      </c>
      <c r="K62" s="26" t="s">
        <v>572</v>
      </c>
    </row>
    <row r="63" spans="2:13">
      <c r="E63" s="26" t="s">
        <v>305</v>
      </c>
      <c r="K63" s="26" t="s">
        <v>573</v>
      </c>
    </row>
    <row r="64" spans="2:13">
      <c r="E64" s="26" t="s">
        <v>312</v>
      </c>
    </row>
    <row r="65" spans="2:12">
      <c r="E65" s="26" t="s">
        <v>297</v>
      </c>
    </row>
    <row r="66" spans="2:12">
      <c r="E66" s="26" t="s">
        <v>302</v>
      </c>
      <c r="K66" s="111" t="s">
        <v>408</v>
      </c>
      <c r="L66" s="111"/>
    </row>
    <row r="67" spans="2:12">
      <c r="E67" s="26" t="s">
        <v>298</v>
      </c>
      <c r="L67" t="s">
        <v>409</v>
      </c>
    </row>
    <row r="68" spans="2:12">
      <c r="E68" s="26" t="s">
        <v>293</v>
      </c>
      <c r="L68" s="26" t="s">
        <v>415</v>
      </c>
    </row>
    <row r="69" spans="2:12">
      <c r="E69" s="26" t="s">
        <v>301</v>
      </c>
      <c r="L69" s="26" t="s">
        <v>416</v>
      </c>
    </row>
    <row r="70" spans="2:12">
      <c r="L70" s="26" t="s">
        <v>417</v>
      </c>
    </row>
    <row r="71" spans="2:12">
      <c r="B71" s="26" t="s">
        <v>303</v>
      </c>
      <c r="E71" s="26" t="s">
        <v>304</v>
      </c>
      <c r="L71" s="26" t="s">
        <v>418</v>
      </c>
    </row>
    <row r="72" spans="2:12">
      <c r="E72" s="26" t="s">
        <v>305</v>
      </c>
      <c r="L72" s="26" t="s">
        <v>419</v>
      </c>
    </row>
    <row r="73" spans="2:12">
      <c r="E73" s="26" t="s">
        <v>306</v>
      </c>
      <c r="L73" s="26" t="s">
        <v>420</v>
      </c>
    </row>
    <row r="74" spans="2:12">
      <c r="E74" s="26" t="s">
        <v>548</v>
      </c>
    </row>
    <row r="75" spans="2:12">
      <c r="E75" s="26" t="s">
        <v>307</v>
      </c>
    </row>
    <row r="76" spans="2:12">
      <c r="E76" s="26" t="s">
        <v>308</v>
      </c>
      <c r="K76" s="111" t="s">
        <v>421</v>
      </c>
      <c r="L76" s="111"/>
    </row>
    <row r="77" spans="2:12">
      <c r="E77" s="26" t="s">
        <v>549</v>
      </c>
      <c r="L77" s="26" t="s">
        <v>422</v>
      </c>
    </row>
    <row r="78" spans="2:12">
      <c r="E78" s="26" t="s">
        <v>309</v>
      </c>
      <c r="L78" s="26" t="s">
        <v>415</v>
      </c>
    </row>
    <row r="79" spans="2:12">
      <c r="E79" s="26" t="s">
        <v>310</v>
      </c>
      <c r="L79" s="26" t="s">
        <v>423</v>
      </c>
    </row>
    <row r="80" spans="2:12">
      <c r="L80" s="26" t="s">
        <v>417</v>
      </c>
    </row>
    <row r="81" spans="2:12">
      <c r="B81" s="26" t="s">
        <v>313</v>
      </c>
      <c r="E81" s="26" t="s">
        <v>314</v>
      </c>
      <c r="L81" s="26" t="s">
        <v>418</v>
      </c>
    </row>
    <row r="82" spans="2:12">
      <c r="E82" s="26" t="s">
        <v>315</v>
      </c>
      <c r="L82" s="26" t="s">
        <v>424</v>
      </c>
    </row>
    <row r="83" spans="2:12">
      <c r="E83" s="26" t="s">
        <v>316</v>
      </c>
      <c r="L83" s="26" t="s">
        <v>425</v>
      </c>
    </row>
    <row r="84" spans="2:12">
      <c r="E84" s="26" t="s">
        <v>317</v>
      </c>
    </row>
    <row r="85" spans="2:12">
      <c r="E85" s="26" t="s">
        <v>318</v>
      </c>
    </row>
    <row r="86" spans="2:12">
      <c r="E86" s="26" t="s">
        <v>319</v>
      </c>
    </row>
    <row r="87" spans="2:12">
      <c r="E87" s="26" t="s">
        <v>320</v>
      </c>
    </row>
  </sheetData>
  <sheetProtection sheet="1" objects="1" scenarios="1"/>
  <mergeCells count="3">
    <mergeCell ref="B2:P2"/>
    <mergeCell ref="B3:P3"/>
    <mergeCell ref="B4:P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87"/>
  <sheetViews>
    <sheetView workbookViewId="0">
      <selection activeCell="E4" sqref="E4:G4"/>
    </sheetView>
  </sheetViews>
  <sheetFormatPr defaultRowHeight="13.2"/>
  <cols>
    <col min="1" max="1" width="13.109375" customWidth="1"/>
    <col min="2" max="2" width="14.33203125" customWidth="1"/>
    <col min="3" max="4" width="11.5546875" customWidth="1"/>
    <col min="5" max="5" width="11.109375" customWidth="1"/>
    <col min="6" max="6" width="12.33203125" customWidth="1"/>
    <col min="9" max="9" width="11" customWidth="1"/>
    <col min="11" max="11" width="10.5546875" customWidth="1"/>
    <col min="12" max="12" width="12.21875" customWidth="1"/>
    <col min="13" max="13" width="12.33203125" customWidth="1"/>
    <col min="14" max="14" width="11.33203125" customWidth="1"/>
    <col min="18" max="18" width="11.33203125" customWidth="1"/>
    <col min="19" max="19" width="11" customWidth="1"/>
    <col min="20" max="20" width="12" customWidth="1"/>
    <col min="21" max="21" width="13.33203125" customWidth="1"/>
    <col min="22" max="22" width="10.33203125" customWidth="1"/>
    <col min="23" max="23" width="11" customWidth="1"/>
    <col min="24" max="24" width="10.6640625" customWidth="1"/>
    <col min="25" max="25" width="13.33203125" customWidth="1"/>
    <col min="26" max="26" width="10" customWidth="1"/>
    <col min="27" max="27" width="13.33203125" customWidth="1"/>
    <col min="33" max="33" width="10.6640625" customWidth="1"/>
    <col min="37" max="37" width="10.109375" customWidth="1"/>
  </cols>
  <sheetData>
    <row r="1" spans="1:55" ht="13.8" thickBot="1"/>
    <row r="2" spans="1:55" ht="14.4" thickTop="1" thickBot="1">
      <c r="A2" s="233" t="s">
        <v>413</v>
      </c>
      <c r="B2" s="234"/>
      <c r="C2" s="234"/>
      <c r="D2" s="234"/>
      <c r="E2" s="235"/>
      <c r="F2" s="235"/>
      <c r="G2" s="235"/>
      <c r="H2" s="235"/>
      <c r="I2" s="235"/>
      <c r="J2" s="235"/>
      <c r="K2" s="235"/>
      <c r="L2" s="235"/>
      <c r="M2" s="235"/>
      <c r="N2" s="235"/>
      <c r="AQ2" s="4"/>
      <c r="AR2" s="4"/>
      <c r="AS2" s="4"/>
      <c r="AT2" s="4"/>
      <c r="AY2" s="4"/>
      <c r="AZ2" s="4"/>
      <c r="BA2" s="4"/>
      <c r="BB2" s="4"/>
      <c r="BC2" s="4"/>
    </row>
    <row r="3" spans="1:55">
      <c r="A3" s="220" t="s">
        <v>0</v>
      </c>
      <c r="B3" s="236"/>
      <c r="C3" s="236"/>
      <c r="D3" s="236"/>
      <c r="E3" s="236"/>
      <c r="F3" s="236"/>
      <c r="G3" s="237"/>
      <c r="H3" s="238" t="s">
        <v>9</v>
      </c>
      <c r="I3" s="239"/>
      <c r="J3" s="239"/>
      <c r="K3" s="240"/>
      <c r="L3" s="240"/>
      <c r="M3" s="240"/>
      <c r="N3" s="240"/>
      <c r="R3" s="102" t="s">
        <v>382</v>
      </c>
      <c r="AQ3" s="4"/>
      <c r="AR3" s="4"/>
      <c r="AS3" s="4"/>
      <c r="AT3" s="4"/>
      <c r="AY3" s="4"/>
      <c r="AZ3" s="4"/>
      <c r="BA3" s="4"/>
      <c r="BB3" s="4"/>
      <c r="BC3" s="4"/>
    </row>
    <row r="4" spans="1:55" ht="15.6" customHeight="1">
      <c r="A4" s="244" t="s">
        <v>1</v>
      </c>
      <c r="B4" s="244"/>
      <c r="C4" s="244"/>
      <c r="D4" s="25"/>
      <c r="E4" s="245" t="s">
        <v>426</v>
      </c>
      <c r="F4" s="246"/>
      <c r="G4" s="247"/>
      <c r="H4" s="244" t="s">
        <v>10</v>
      </c>
      <c r="I4" s="244"/>
      <c r="J4" s="244"/>
      <c r="K4" s="245" t="s">
        <v>327</v>
      </c>
      <c r="L4" s="246"/>
      <c r="M4" s="246"/>
      <c r="N4" s="246"/>
      <c r="AQ4" s="4"/>
      <c r="AR4" s="4"/>
      <c r="AS4" s="4"/>
      <c r="AT4" s="4"/>
      <c r="AY4" s="8"/>
      <c r="AZ4" s="8"/>
      <c r="BA4" s="4"/>
      <c r="BB4" s="4"/>
      <c r="BC4" s="4"/>
    </row>
    <row r="5" spans="1:55" ht="13.2" customHeight="1" thickBot="1">
      <c r="A5" s="236" t="s">
        <v>2</v>
      </c>
      <c r="B5" s="236"/>
      <c r="C5" s="236"/>
      <c r="E5" s="241" t="s">
        <v>427</v>
      </c>
      <c r="F5" s="242"/>
      <c r="G5" s="243"/>
      <c r="H5" s="236" t="s">
        <v>11</v>
      </c>
      <c r="I5" s="236"/>
      <c r="J5" s="236"/>
      <c r="K5" s="241" t="s">
        <v>328</v>
      </c>
      <c r="L5" s="242"/>
      <c r="M5" s="242"/>
      <c r="N5" s="242"/>
      <c r="AQ5" s="4"/>
      <c r="AR5" s="4"/>
      <c r="AS5" s="4"/>
      <c r="AT5" s="4"/>
      <c r="AU5" s="4"/>
      <c r="AV5" s="4"/>
      <c r="AY5" s="8"/>
      <c r="AZ5" s="8"/>
      <c r="BA5" s="4"/>
      <c r="BB5" s="4"/>
      <c r="BC5" s="4"/>
    </row>
    <row r="6" spans="1:55" ht="15.6" customHeight="1">
      <c r="A6" s="236" t="s">
        <v>3</v>
      </c>
      <c r="B6" s="236"/>
      <c r="C6" s="236"/>
      <c r="E6" s="254">
        <f ca="1">TODAY()</f>
        <v>45350</v>
      </c>
      <c r="F6" s="255"/>
      <c r="G6" s="256"/>
      <c r="H6" s="236" t="s">
        <v>12</v>
      </c>
      <c r="I6" s="236"/>
      <c r="J6" s="236"/>
      <c r="K6" s="241" t="s">
        <v>329</v>
      </c>
      <c r="L6" s="242"/>
      <c r="M6" s="242"/>
      <c r="N6" s="242"/>
      <c r="R6" s="388" t="s">
        <v>381</v>
      </c>
      <c r="S6" s="388"/>
      <c r="T6" s="388"/>
      <c r="U6" s="388"/>
      <c r="V6" s="388"/>
      <c r="AQ6" s="30"/>
      <c r="AR6" s="30"/>
      <c r="AS6" s="30"/>
      <c r="AT6" s="30"/>
      <c r="AU6" s="30"/>
      <c r="AV6" s="30"/>
      <c r="AY6" s="9"/>
      <c r="AZ6" s="1"/>
      <c r="BA6" s="30"/>
      <c r="BB6" s="30"/>
      <c r="BC6" s="30"/>
    </row>
    <row r="7" spans="1:55" ht="13.8" thickBot="1">
      <c r="A7" s="248"/>
      <c r="B7" s="248"/>
      <c r="C7" s="248"/>
      <c r="D7" s="24"/>
      <c r="E7" s="249"/>
      <c r="F7" s="248"/>
      <c r="G7" s="250"/>
      <c r="H7" s="251" t="s">
        <v>13</v>
      </c>
      <c r="I7" s="236"/>
      <c r="J7" s="236"/>
      <c r="K7" s="252">
        <v>2010</v>
      </c>
      <c r="L7" s="253"/>
      <c r="M7" s="253"/>
      <c r="N7" s="253"/>
      <c r="R7" s="389"/>
      <c r="S7" s="389"/>
      <c r="T7" s="389"/>
      <c r="U7" s="389"/>
      <c r="V7" s="389"/>
      <c r="AQ7" s="30"/>
      <c r="AR7" s="30"/>
      <c r="AS7" s="30"/>
      <c r="AT7" s="30"/>
      <c r="AU7" s="30"/>
      <c r="AV7" s="30"/>
      <c r="AY7" s="1"/>
      <c r="AZ7" s="1"/>
      <c r="BA7" s="30"/>
      <c r="BB7" s="30"/>
      <c r="BC7" s="30"/>
    </row>
    <row r="8" spans="1:55">
      <c r="A8" s="266" t="s">
        <v>4</v>
      </c>
      <c r="B8" s="258"/>
      <c r="C8" s="258"/>
      <c r="D8" s="258"/>
      <c r="E8" s="258"/>
      <c r="F8" s="258"/>
      <c r="G8" s="259"/>
      <c r="H8" s="267" t="s">
        <v>14</v>
      </c>
      <c r="I8" s="259"/>
      <c r="J8" s="267" t="s">
        <v>16</v>
      </c>
      <c r="K8" s="248"/>
      <c r="L8" s="248"/>
      <c r="M8" s="248"/>
      <c r="N8" s="248"/>
      <c r="R8" s="390" t="s">
        <v>51</v>
      </c>
      <c r="S8" s="391"/>
      <c r="T8" s="391" t="s">
        <v>6</v>
      </c>
      <c r="U8" s="391"/>
      <c r="V8" s="393"/>
      <c r="AQ8" s="30"/>
      <c r="AR8" s="30"/>
      <c r="AS8" s="30"/>
      <c r="AT8" s="30"/>
      <c r="AU8" s="30"/>
      <c r="AV8" s="30"/>
      <c r="AY8" s="9"/>
      <c r="AZ8" s="1"/>
      <c r="BA8" s="30"/>
      <c r="BB8" s="30"/>
      <c r="BC8" s="30"/>
    </row>
    <row r="9" spans="1:55">
      <c r="A9" s="257" t="s">
        <v>412</v>
      </c>
      <c r="B9" s="258"/>
      <c r="C9" s="258"/>
      <c r="D9" s="258"/>
      <c r="E9" s="258"/>
      <c r="F9" s="258"/>
      <c r="G9" s="259"/>
      <c r="H9" s="260" t="s">
        <v>173</v>
      </c>
      <c r="I9" s="261"/>
      <c r="J9" s="262" t="s">
        <v>173</v>
      </c>
      <c r="K9" s="244"/>
      <c r="L9" s="244"/>
      <c r="M9" s="244"/>
      <c r="N9" s="244"/>
      <c r="R9" s="392"/>
      <c r="S9" s="380"/>
      <c r="T9" s="21" t="s">
        <v>57</v>
      </c>
      <c r="U9" s="21" t="s">
        <v>58</v>
      </c>
      <c r="V9" s="11" t="s">
        <v>59</v>
      </c>
      <c r="AQ9" s="30"/>
      <c r="AR9" s="30"/>
      <c r="AS9" s="30"/>
      <c r="AT9" s="30"/>
      <c r="AU9" s="30"/>
      <c r="AV9" s="30"/>
      <c r="AY9" s="1"/>
      <c r="AZ9" s="1"/>
      <c r="BA9" s="30"/>
      <c r="BB9" s="30"/>
      <c r="BC9" s="30"/>
    </row>
    <row r="10" spans="1:55" ht="13.8" thickBot="1">
      <c r="A10" s="258" t="s">
        <v>5</v>
      </c>
      <c r="B10" s="258"/>
      <c r="C10" s="258"/>
      <c r="D10" s="258"/>
      <c r="E10" s="258"/>
      <c r="F10" s="258"/>
      <c r="G10" s="259"/>
      <c r="H10" s="263" t="s">
        <v>15</v>
      </c>
      <c r="I10" s="259"/>
      <c r="J10" s="264">
        <v>1.5</v>
      </c>
      <c r="K10" s="265"/>
      <c r="L10" s="265"/>
      <c r="M10" s="265"/>
      <c r="N10" s="265"/>
      <c r="R10" s="228">
        <v>9</v>
      </c>
      <c r="S10" s="229"/>
      <c r="T10" s="12">
        <v>1.03</v>
      </c>
      <c r="U10" s="12">
        <f>1.03+0.000138*('Rural Divided Multilane Seg'!$J$11-400)</f>
        <v>2.3548</v>
      </c>
      <c r="V10" s="13">
        <v>1.25</v>
      </c>
      <c r="AY10" s="9"/>
      <c r="AZ10" s="1"/>
      <c r="BA10" s="30"/>
      <c r="BB10" s="30"/>
      <c r="BC10" s="30"/>
    </row>
    <row r="11" spans="1:55" ht="16.2" thickBot="1">
      <c r="A11" s="272" t="s">
        <v>6</v>
      </c>
      <c r="B11" s="272"/>
      <c r="C11" s="272"/>
      <c r="D11" s="149" t="s">
        <v>528</v>
      </c>
      <c r="E11" s="107" t="s">
        <v>407</v>
      </c>
      <c r="F11" s="108">
        <v>89300</v>
      </c>
      <c r="G11" s="109" t="s">
        <v>529</v>
      </c>
      <c r="H11" s="263" t="s">
        <v>15</v>
      </c>
      <c r="I11" s="259"/>
      <c r="J11" s="268">
        <v>10000</v>
      </c>
      <c r="K11" s="269"/>
      <c r="L11" s="269"/>
      <c r="M11" s="269"/>
      <c r="N11" s="269"/>
      <c r="O11" s="110" t="str">
        <f>IF(J11&gt;F11,"AADT out of range","AADT OK")</f>
        <v>AADT OK</v>
      </c>
      <c r="R11" s="387">
        <v>9.5</v>
      </c>
      <c r="S11" s="357"/>
      <c r="T11" s="12">
        <f>+(T10+T12)/2</f>
        <v>1.02</v>
      </c>
      <c r="U11" s="12">
        <f>+(U10+U12)/2</f>
        <v>2.1024000000000003</v>
      </c>
      <c r="V11" s="13">
        <f>+(V10+V12)/2</f>
        <v>1.2</v>
      </c>
      <c r="AY11" s="1"/>
      <c r="AZ11" s="1"/>
      <c r="BA11" s="30"/>
      <c r="BB11" s="30"/>
      <c r="BC11" s="30"/>
    </row>
    <row r="12" spans="1:55">
      <c r="A12" s="223" t="s">
        <v>501</v>
      </c>
      <c r="B12" s="224"/>
      <c r="C12" s="224"/>
      <c r="D12" s="224"/>
      <c r="E12" s="224"/>
      <c r="F12" s="224"/>
      <c r="G12" s="225"/>
      <c r="H12" s="263" t="s">
        <v>15</v>
      </c>
      <c r="I12" s="259"/>
      <c r="J12" s="226" t="s">
        <v>449</v>
      </c>
      <c r="K12" s="227"/>
      <c r="L12" s="227"/>
      <c r="M12" s="227"/>
      <c r="N12" s="227"/>
      <c r="O12" s="110"/>
      <c r="R12" s="228">
        <v>10</v>
      </c>
      <c r="S12" s="229"/>
      <c r="T12" s="12">
        <v>1.01</v>
      </c>
      <c r="U12" s="12">
        <f>1.01+0.0000875*('Rural Divided Multilane Seg'!$J$11-400)</f>
        <v>1.85</v>
      </c>
      <c r="V12" s="13">
        <v>1.1499999999999999</v>
      </c>
      <c r="AY12" s="1"/>
      <c r="AZ12" s="1"/>
      <c r="BA12" s="30"/>
      <c r="BB12" s="30"/>
      <c r="BC12" s="30"/>
    </row>
    <row r="13" spans="1:55">
      <c r="A13" s="257" t="s">
        <v>7</v>
      </c>
      <c r="B13" s="258"/>
      <c r="C13" s="258"/>
      <c r="D13" s="258"/>
      <c r="E13" s="258"/>
      <c r="F13" s="258"/>
      <c r="G13" s="259"/>
      <c r="H13" s="271">
        <v>12</v>
      </c>
      <c r="I13" s="259"/>
      <c r="J13" s="226">
        <v>12</v>
      </c>
      <c r="K13" s="227"/>
      <c r="L13" s="227"/>
      <c r="M13" s="227"/>
      <c r="N13" s="227"/>
      <c r="R13" s="387">
        <v>10.5</v>
      </c>
      <c r="S13" s="357"/>
      <c r="T13" s="12">
        <f>+(T12+T14)/2</f>
        <v>1.01</v>
      </c>
      <c r="U13" s="12">
        <f>+(U12+U14)/2</f>
        <v>1.4900000000000002</v>
      </c>
      <c r="V13" s="13">
        <f>+(V12+V14)/2</f>
        <v>1.0899999999999999</v>
      </c>
      <c r="AY13" s="9"/>
      <c r="AZ13" s="1"/>
      <c r="BA13" s="30"/>
      <c r="BB13" s="30"/>
      <c r="BC13" s="30"/>
    </row>
    <row r="14" spans="1:55">
      <c r="A14" s="257" t="s">
        <v>524</v>
      </c>
      <c r="B14" s="258"/>
      <c r="C14" s="258"/>
      <c r="D14" s="258"/>
      <c r="E14" s="258"/>
      <c r="F14" s="258"/>
      <c r="G14" s="259"/>
      <c r="H14" s="270">
        <v>8</v>
      </c>
      <c r="I14" s="259"/>
      <c r="J14" s="226">
        <v>0</v>
      </c>
      <c r="K14" s="227"/>
      <c r="L14" s="227"/>
      <c r="M14" s="227"/>
      <c r="N14" s="227"/>
      <c r="R14" s="228">
        <v>11</v>
      </c>
      <c r="S14" s="229"/>
      <c r="T14" s="12">
        <v>1.01</v>
      </c>
      <c r="U14" s="12">
        <f>1.01+0.0000125*('Rural Divided Multilane Seg'!$J$11-400)</f>
        <v>1.1300000000000001</v>
      </c>
      <c r="V14" s="13">
        <v>1.03</v>
      </c>
      <c r="AY14" s="79"/>
      <c r="AZ14" s="18"/>
      <c r="BA14" s="18"/>
      <c r="BB14" s="18"/>
      <c r="BC14" s="18"/>
    </row>
    <row r="15" spans="1:55">
      <c r="A15" s="257" t="s">
        <v>525</v>
      </c>
      <c r="B15" s="258"/>
      <c r="C15" s="258"/>
      <c r="D15" s="258"/>
      <c r="E15" s="258"/>
      <c r="F15" s="258"/>
      <c r="G15" s="259"/>
      <c r="H15" s="273" t="s">
        <v>65</v>
      </c>
      <c r="I15" s="259"/>
      <c r="J15" s="226" t="s">
        <v>65</v>
      </c>
      <c r="K15" s="227"/>
      <c r="L15" s="227"/>
      <c r="M15" s="227"/>
      <c r="N15" s="227"/>
      <c r="R15" s="387">
        <v>11.5</v>
      </c>
      <c r="S15" s="357"/>
      <c r="T15" s="12">
        <f>+(T14+T16)/2</f>
        <v>1.0049999999999999</v>
      </c>
      <c r="U15" s="12">
        <f>+(U14+U16)/2</f>
        <v>1.0649999999999999</v>
      </c>
      <c r="V15" s="13">
        <f>+(V14+V16)/2</f>
        <v>1.0150000000000001</v>
      </c>
      <c r="AY15" s="18"/>
      <c r="AZ15" s="18"/>
      <c r="BA15" s="18"/>
      <c r="BB15" s="18"/>
      <c r="BC15" s="18"/>
    </row>
    <row r="16" spans="1:55" ht="13.8" thickBot="1">
      <c r="A16" s="257" t="s">
        <v>523</v>
      </c>
      <c r="B16" s="258"/>
      <c r="C16" s="258"/>
      <c r="D16" s="258"/>
      <c r="E16" s="258"/>
      <c r="F16" s="258"/>
      <c r="G16" s="259"/>
      <c r="H16" s="270">
        <v>30</v>
      </c>
      <c r="I16" s="259"/>
      <c r="J16" s="274">
        <v>20</v>
      </c>
      <c r="K16" s="227"/>
      <c r="L16" s="227"/>
      <c r="M16" s="227"/>
      <c r="N16" s="227"/>
      <c r="R16" s="394">
        <v>12</v>
      </c>
      <c r="S16" s="395"/>
      <c r="T16" s="14">
        <v>1</v>
      </c>
      <c r="U16" s="14">
        <v>1</v>
      </c>
      <c r="V16" s="15">
        <v>1</v>
      </c>
      <c r="AY16" s="18"/>
      <c r="AZ16" s="18"/>
      <c r="BA16" s="18"/>
      <c r="BB16" s="18"/>
      <c r="BC16" s="18"/>
    </row>
    <row r="17" spans="1:22" ht="13.2" customHeight="1">
      <c r="A17" s="257" t="s">
        <v>109</v>
      </c>
      <c r="B17" s="258"/>
      <c r="C17" s="258"/>
      <c r="D17" s="258"/>
      <c r="E17" s="258"/>
      <c r="F17" s="258"/>
      <c r="G17" s="259"/>
      <c r="H17" s="270" t="s">
        <v>70</v>
      </c>
      <c r="I17" s="259"/>
      <c r="J17" s="226" t="s">
        <v>70</v>
      </c>
      <c r="K17" s="227"/>
      <c r="L17" s="227"/>
      <c r="M17" s="227"/>
      <c r="N17" s="227"/>
      <c r="R17" s="221" t="s">
        <v>335</v>
      </c>
      <c r="S17" s="221"/>
      <c r="T17" s="221"/>
      <c r="U17" s="221"/>
      <c r="V17" s="221"/>
    </row>
    <row r="18" spans="1:22">
      <c r="A18" s="257" t="s">
        <v>527</v>
      </c>
      <c r="B18" s="258"/>
      <c r="C18" s="258"/>
      <c r="D18" s="258"/>
      <c r="E18" s="258"/>
      <c r="F18" s="258"/>
      <c r="G18" s="259"/>
      <c r="H18" s="270" t="s">
        <v>70</v>
      </c>
      <c r="I18" s="259"/>
      <c r="J18" s="226" t="s">
        <v>70</v>
      </c>
      <c r="K18" s="227"/>
      <c r="L18" s="227"/>
      <c r="M18" s="227"/>
      <c r="N18" s="227"/>
      <c r="R18" s="222"/>
      <c r="S18" s="222"/>
      <c r="T18" s="222"/>
      <c r="U18" s="222"/>
      <c r="V18" s="222"/>
    </row>
    <row r="19" spans="1:22" ht="16.2" thickBot="1">
      <c r="A19" s="275" t="s">
        <v>512</v>
      </c>
      <c r="B19" s="276"/>
      <c r="C19" s="276"/>
      <c r="D19" s="276"/>
      <c r="E19" s="276"/>
      <c r="F19" s="276"/>
      <c r="G19" s="277"/>
      <c r="H19" s="278">
        <v>1</v>
      </c>
      <c r="I19" s="279"/>
      <c r="J19" s="280">
        <v>1</v>
      </c>
      <c r="K19" s="281"/>
      <c r="L19" s="281"/>
      <c r="M19" s="281"/>
      <c r="N19" s="281"/>
      <c r="R19" s="222"/>
      <c r="S19" s="222"/>
      <c r="T19" s="222"/>
      <c r="U19" s="222"/>
      <c r="V19" s="222"/>
    </row>
    <row r="20" spans="1:22" ht="13.8" thickTop="1">
      <c r="J20" s="52"/>
      <c r="K20" s="32"/>
      <c r="L20" s="32"/>
      <c r="M20" s="32"/>
      <c r="N20" s="32"/>
    </row>
    <row r="21" spans="1:22" ht="13.8" thickBot="1">
      <c r="J21" s="1"/>
    </row>
    <row r="22" spans="1:22" ht="14.4" thickTop="1" thickBot="1">
      <c r="A22" s="233" t="s">
        <v>111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S22" s="26" t="s">
        <v>433</v>
      </c>
    </row>
    <row r="23" spans="1:22">
      <c r="A23" s="282" t="s">
        <v>17</v>
      </c>
      <c r="B23" s="283"/>
      <c r="C23" s="284" t="s">
        <v>18</v>
      </c>
      <c r="D23" s="284"/>
      <c r="E23" s="283"/>
      <c r="F23" s="284" t="s">
        <v>19</v>
      </c>
      <c r="G23" s="283"/>
      <c r="H23" s="284" t="s">
        <v>20</v>
      </c>
      <c r="I23" s="283"/>
      <c r="J23" s="284" t="s">
        <v>21</v>
      </c>
      <c r="K23" s="283"/>
      <c r="L23" s="283"/>
      <c r="M23" s="284" t="s">
        <v>22</v>
      </c>
      <c r="N23" s="295"/>
    </row>
    <row r="24" spans="1:22">
      <c r="A24" s="285" t="s">
        <v>30</v>
      </c>
      <c r="B24" s="286"/>
      <c r="C24" s="289" t="s">
        <v>112</v>
      </c>
      <c r="D24" s="289"/>
      <c r="E24" s="286"/>
      <c r="F24" s="289" t="s">
        <v>113</v>
      </c>
      <c r="G24" s="286"/>
      <c r="H24" s="290" t="s">
        <v>31</v>
      </c>
      <c r="I24" s="286"/>
      <c r="J24" s="290" t="s">
        <v>32</v>
      </c>
      <c r="K24" s="286"/>
      <c r="L24" s="286"/>
      <c r="M24" s="289" t="s">
        <v>104</v>
      </c>
      <c r="N24" s="291"/>
    </row>
    <row r="25" spans="1:22">
      <c r="A25" s="287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92"/>
    </row>
    <row r="26" spans="1:22">
      <c r="A26" s="300" t="s">
        <v>114</v>
      </c>
      <c r="B26" s="298"/>
      <c r="C26" s="293" t="s">
        <v>115</v>
      </c>
      <c r="D26" s="293"/>
      <c r="E26" s="298"/>
      <c r="F26" s="293" t="s">
        <v>116</v>
      </c>
      <c r="G26" s="298"/>
      <c r="H26" s="293" t="s">
        <v>117</v>
      </c>
      <c r="I26" s="298"/>
      <c r="J26" s="293" t="s">
        <v>118</v>
      </c>
      <c r="K26" s="298"/>
      <c r="L26" s="298"/>
      <c r="M26" s="293" t="s">
        <v>33</v>
      </c>
      <c r="N26" s="294"/>
    </row>
    <row r="27" spans="1:22">
      <c r="A27" s="306" t="s">
        <v>119</v>
      </c>
      <c r="B27" s="297"/>
      <c r="C27" s="296" t="s">
        <v>384</v>
      </c>
      <c r="D27" s="296"/>
      <c r="E27" s="297"/>
      <c r="F27" s="296" t="s">
        <v>386</v>
      </c>
      <c r="G27" s="298"/>
      <c r="H27" s="296" t="s">
        <v>120</v>
      </c>
      <c r="I27" s="297"/>
      <c r="J27" s="296" t="s">
        <v>121</v>
      </c>
      <c r="K27" s="298"/>
      <c r="L27" s="298"/>
      <c r="M27" s="299" t="s">
        <v>122</v>
      </c>
      <c r="N27" s="294"/>
    </row>
    <row r="28" spans="1:22" ht="13.8" thickBot="1">
      <c r="A28" s="301">
        <f>(VLOOKUP($J$13,'Rural Divided Multilane Seg'!$R$10:$V$16,IF($J$11&gt;2000,5,IF($J$11&lt;400,5,4)))-1)*(IF('Segment Tables'!D24="No",'Segment Tables'!E32,'Segment Tables'!I32))+1</f>
        <v>1</v>
      </c>
      <c r="B28" s="302"/>
      <c r="C28" s="303">
        <f>IF(J15="Paved",VLOOKUP(J14,'Segment Tables'!AC10:AG20,3,FALSE),1)</f>
        <v>1.18</v>
      </c>
      <c r="D28" s="304"/>
      <c r="E28" s="302"/>
      <c r="F28" s="303">
        <f>VLOOKUP(J16,'Segment Tables'!AC29:AF38,3,FALSE)</f>
        <v>1.02</v>
      </c>
      <c r="G28" s="305"/>
      <c r="H28" s="303">
        <f>IF($J$17="Present",(1-(IF('Segment Tables'!$D$53="No",((1-(0.72*'Segment Tables'!$E$57)-(0.83*'Segment Tables'!$F$57))*'Segment Tables'!$G$57),((1-(0.72*'Segment Tables'!$I$57)-(0.83*'Segment Tables'!$J$57))*'Segment Tables'!$K$57)))),1)</f>
        <v>1</v>
      </c>
      <c r="I28" s="305"/>
      <c r="J28" s="303">
        <f>IF($J$18="Present",0.94,1)</f>
        <v>1</v>
      </c>
      <c r="K28" s="301"/>
      <c r="L28" s="305"/>
      <c r="M28" s="308">
        <f>$A$28*$C$28*$F$28*$H$28*$J$28</f>
        <v>1.2036</v>
      </c>
      <c r="N28" s="309"/>
    </row>
    <row r="31" spans="1:22" ht="13.8" thickBot="1"/>
    <row r="32" spans="1:22" ht="14.4" thickTop="1" thickBot="1">
      <c r="A32" s="233" t="s">
        <v>135</v>
      </c>
      <c r="B32" s="234"/>
      <c r="C32" s="234"/>
      <c r="D32" s="234"/>
      <c r="E32" s="234"/>
      <c r="F32" s="234"/>
      <c r="G32" s="234"/>
      <c r="H32" s="234"/>
      <c r="I32" s="234"/>
      <c r="J32" s="235"/>
      <c r="K32" s="235"/>
      <c r="L32" s="235"/>
      <c r="M32" s="235"/>
      <c r="N32" s="235"/>
    </row>
    <row r="33" spans="1:42">
      <c r="A33" s="282" t="s">
        <v>17</v>
      </c>
      <c r="B33" s="283"/>
      <c r="C33" s="307" t="s">
        <v>18</v>
      </c>
      <c r="D33" s="307"/>
      <c r="E33" s="283"/>
      <c r="F33" s="284" t="s">
        <v>19</v>
      </c>
      <c r="G33" s="283"/>
      <c r="H33" s="284" t="s">
        <v>20</v>
      </c>
      <c r="I33" s="283"/>
      <c r="J33" s="284" t="s">
        <v>21</v>
      </c>
      <c r="K33" s="283"/>
      <c r="L33" s="2" t="s">
        <v>22</v>
      </c>
      <c r="M33" s="284" t="s">
        <v>23</v>
      </c>
      <c r="N33" s="295"/>
    </row>
    <row r="34" spans="1:42" ht="15.6" customHeight="1">
      <c r="A34" s="231" t="s">
        <v>34</v>
      </c>
      <c r="B34" s="298"/>
      <c r="C34" s="310" t="s">
        <v>136</v>
      </c>
      <c r="D34" s="311"/>
      <c r="E34" s="311"/>
      <c r="F34" s="312" t="s">
        <v>333</v>
      </c>
      <c r="G34" s="313"/>
      <c r="H34" s="230" t="s">
        <v>434</v>
      </c>
      <c r="I34" s="231"/>
      <c r="J34" s="312" t="s">
        <v>36</v>
      </c>
      <c r="K34" s="315"/>
      <c r="L34" s="316" t="s">
        <v>511</v>
      </c>
      <c r="M34" s="312" t="s">
        <v>349</v>
      </c>
      <c r="N34" s="318"/>
    </row>
    <row r="35" spans="1:42" ht="15.6" customHeight="1">
      <c r="A35" s="259"/>
      <c r="B35" s="298"/>
      <c r="C35" s="313" t="s">
        <v>389</v>
      </c>
      <c r="D35" s="313"/>
      <c r="E35" s="313"/>
      <c r="F35" s="314"/>
      <c r="G35" s="314"/>
      <c r="H35" s="232" t="s">
        <v>148</v>
      </c>
      <c r="I35" s="232"/>
      <c r="J35" s="320" t="s">
        <v>141</v>
      </c>
      <c r="K35" s="315"/>
      <c r="L35" s="317"/>
      <c r="M35" s="319"/>
      <c r="N35" s="318"/>
      <c r="Q35" s="61"/>
      <c r="T35" s="1"/>
      <c r="U35" s="1"/>
      <c r="V35" s="9"/>
      <c r="W35" s="1"/>
      <c r="X35" s="10"/>
      <c r="Y35" s="10"/>
      <c r="Z35" s="63"/>
      <c r="AA35" s="10"/>
    </row>
    <row r="36" spans="1:42" ht="15.6" customHeight="1">
      <c r="A36" s="259"/>
      <c r="B36" s="298"/>
      <c r="C36" s="56" t="s">
        <v>137</v>
      </c>
      <c r="D36" s="56" t="s">
        <v>138</v>
      </c>
      <c r="E36" s="56" t="s">
        <v>139</v>
      </c>
      <c r="F36" s="232" t="s">
        <v>140</v>
      </c>
      <c r="G36" s="232"/>
      <c r="H36" s="232" t="s">
        <v>459</v>
      </c>
      <c r="I36" s="232"/>
      <c r="J36" s="315"/>
      <c r="K36" s="315"/>
      <c r="L36" s="317"/>
      <c r="M36" s="321" t="s">
        <v>142</v>
      </c>
      <c r="N36" s="271"/>
      <c r="T36" s="10"/>
      <c r="U36" s="10"/>
      <c r="V36" s="10"/>
      <c r="W36" s="10"/>
      <c r="X36" s="10"/>
      <c r="Y36" s="10"/>
      <c r="Z36" s="10"/>
      <c r="AA36" s="10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>
      <c r="A37" s="259" t="s">
        <v>37</v>
      </c>
      <c r="B37" s="298"/>
      <c r="C37" s="3">
        <f>VLOOKUP(IF('Segment Tables'!$J$62="No",$A37,"Local"),'Segment Tables'!$H$63:$L$67,MATCH(C$36,'Segment Tables'!$H$63:$L$63,0),FALSE)</f>
        <v>-7.5090000000000003</v>
      </c>
      <c r="D37" s="3">
        <f>VLOOKUP(IF('Segment Tables'!$J$62="No",$A37,"Local"),'Segment Tables'!$H$63:$L$67,MATCH(D$36,'Segment Tables'!$H$63:$L$63,0),FALSE)</f>
        <v>0.89400000000000002</v>
      </c>
      <c r="E37" s="3" t="str">
        <f>VLOOKUP(IF('Segment Tables'!$J$62="No",$A37,"Local"),'Segment Tables'!$H$63:$L$67,MATCH(E$36,'Segment Tables'!$H$63:$L$63,0),FALSE)</f>
        <v>--</v>
      </c>
      <c r="F37" s="322">
        <f>EXP($C$37+$D$37*LN($J$11)+LN($J$10))</f>
        <v>3.0972338312857879</v>
      </c>
      <c r="G37" s="323"/>
      <c r="H37" s="322">
        <f>IF('Segment Tables'!$J$62="No",1/(EXP($E$37+LN($J$10))),VLOOKUP("Local",'Segment Tables'!$H$63:$L$67,MATCH(H$36,'Segment Tables'!$H$63:$L$63,0),FALSE))</f>
        <v>0.61099999999999999</v>
      </c>
      <c r="I37" s="323"/>
      <c r="J37" s="324">
        <f>+$M$28</f>
        <v>1.2036</v>
      </c>
      <c r="K37" s="325"/>
      <c r="L37" s="12">
        <f>$J$19*VLOOKUP(VLOOKUP($J$12,'Segment Tables'!$K$72:$L$98,MATCH("Region",'Segment Tables'!$K$72:$L$72,0),FALSE),'Segment Tables'!$B$85:$D$90,MATCH("Divided",'Segment Tables'!$B$85:$D$85,0),FALSE)</f>
        <v>1</v>
      </c>
      <c r="M37" s="326">
        <f>+F37*J37*L37</f>
        <v>3.7278306393355742</v>
      </c>
      <c r="N37" s="327"/>
      <c r="AD37" s="37"/>
      <c r="AE37" s="4"/>
      <c r="AF37" s="1"/>
      <c r="AG37" s="1"/>
      <c r="AH37" s="1"/>
      <c r="AI37" s="1"/>
      <c r="AJ37" s="1"/>
      <c r="AK37" s="4"/>
      <c r="AL37" s="1"/>
      <c r="AM37" s="1"/>
      <c r="AN37" s="1"/>
      <c r="AO37" s="1"/>
      <c r="AP37" s="1"/>
    </row>
    <row r="38" spans="1:42">
      <c r="A38" s="259" t="s">
        <v>38</v>
      </c>
      <c r="B38" s="298"/>
      <c r="C38" s="3" t="str">
        <f>IF('Segment Tables'!$J$62="No",VLOOKUP($A38,'Segment Tables'!$H$63:$L$67,MATCH(C$36,'Segment Tables'!$H$63:$L$63,0),FALSE),"--")</f>
        <v>--</v>
      </c>
      <c r="D38" s="3" t="str">
        <f>IF('Segment Tables'!$J$62="No",VLOOKUP($A38,'Segment Tables'!$H$63:$L$67,MATCH(D$36,'Segment Tables'!$H$63:$L$63,0),FALSE),"--")</f>
        <v>--</v>
      </c>
      <c r="E38" s="3" t="str">
        <f>IF('Segment Tables'!$J$62="No",VLOOKUP($A38,'Segment Tables'!$H$63:$L$67,MATCH(E$36,'Segment Tables'!$H$63:$L$63,0),FALSE),"--")</f>
        <v>--</v>
      </c>
      <c r="F38" s="322">
        <f>IF('Segment Tables'!D62="No",EXP($C$38+$D$38*LN($J$11)+LN($J$10)),F37*'Segment Tables'!E78/100)</f>
        <v>0.92917014938573628</v>
      </c>
      <c r="G38" s="323"/>
      <c r="H38" s="322">
        <f>IF('Segment Tables'!D62="No",1/(EXP($E$38+LN($J$10))),H$37)</f>
        <v>0.61099999999999999</v>
      </c>
      <c r="I38" s="323"/>
      <c r="J38" s="324">
        <f>+$M$28</f>
        <v>1.2036</v>
      </c>
      <c r="K38" s="325"/>
      <c r="L38" s="12">
        <f>$J$19*VLOOKUP(VLOOKUP($J$12,'Segment Tables'!$K$72:$L$98,MATCH("Region",'Segment Tables'!$K$72:$L$72,0),FALSE),'Segment Tables'!$B$85:$D$90,MATCH("Divided",'Segment Tables'!$B$85:$D$85,0),FALSE)</f>
        <v>1</v>
      </c>
      <c r="M38" s="326">
        <f>+F38*J38*L38</f>
        <v>1.1183491918006723</v>
      </c>
      <c r="N38" s="327"/>
      <c r="AE38" s="4"/>
      <c r="AF38" s="4"/>
      <c r="AG38" s="4"/>
      <c r="AH38" s="4"/>
      <c r="AI38" s="4"/>
      <c r="AK38" s="4"/>
      <c r="AL38" s="4"/>
      <c r="AM38" s="4"/>
      <c r="AN38" s="4"/>
      <c r="AO38" s="4"/>
    </row>
    <row r="39" spans="1:42" ht="15.6">
      <c r="A39" s="332" t="s">
        <v>143</v>
      </c>
      <c r="B39" s="298"/>
      <c r="C39" s="3" t="str">
        <f>IF('Segment Tables'!$J$62="No",VLOOKUP($A39,'Segment Tables'!$H$63:$L$67,MATCH(C$36,'Segment Tables'!$H$63:$L$63,0),FALSE),"--")</f>
        <v>--</v>
      </c>
      <c r="D39" s="3" t="str">
        <f>IF('Segment Tables'!$J$62="No",VLOOKUP($A39,'Segment Tables'!$H$63:$L$67,MATCH(D$36,'Segment Tables'!$H$63:$L$63,0),FALSE),"--")</f>
        <v>--</v>
      </c>
      <c r="E39" s="3" t="str">
        <f>IF('Segment Tables'!$J$62="No",VLOOKUP($A39,'Segment Tables'!$H$63:$L$67,MATCH(E$36,'Segment Tables'!$H$63:$L$63,0),FALSE),"--")</f>
        <v>--</v>
      </c>
      <c r="F39" s="322">
        <f>IF('Segment Tables'!D62="No",EXP($C$39+$D$39*LN($J$11)+LN($J$10)),F37*SUM('Segment Tables'!E74:E76)/100)</f>
        <v>0.64112740307615812</v>
      </c>
      <c r="G39" s="323"/>
      <c r="H39" s="322">
        <f>IF('Segment Tables'!D62="No",1/(EXP($E$39+LN($J$10))),H37)</f>
        <v>0.61099999999999999</v>
      </c>
      <c r="I39" s="323"/>
      <c r="J39" s="324">
        <f>+$M$28</f>
        <v>1.2036</v>
      </c>
      <c r="K39" s="325"/>
      <c r="L39" s="12">
        <f>$J$19*VLOOKUP(VLOOKUP($J$12,'Segment Tables'!$K$72:$L$98,MATCH("Region",'Segment Tables'!$K$72:$L$72,0),FALSE),'Segment Tables'!$B$85:$D$90,MATCH("Divided",'Segment Tables'!$B$85:$D$85,0),FALSE)</f>
        <v>1</v>
      </c>
      <c r="M39" s="326">
        <f>+F39*J39*L39</f>
        <v>0.77166094234246396</v>
      </c>
      <c r="N39" s="327"/>
      <c r="AE39" s="4"/>
      <c r="AF39" s="4"/>
      <c r="AG39" s="4"/>
      <c r="AH39" s="4"/>
      <c r="AI39" s="4"/>
      <c r="AK39" s="4"/>
      <c r="AL39" s="4"/>
      <c r="AM39" s="4"/>
      <c r="AN39" s="4"/>
      <c r="AO39" s="4"/>
    </row>
    <row r="40" spans="1:42" ht="15.6" customHeight="1">
      <c r="A40" s="352" t="s">
        <v>39</v>
      </c>
      <c r="B40" s="353"/>
      <c r="C40" s="350" t="s">
        <v>15</v>
      </c>
      <c r="D40" s="350" t="s">
        <v>15</v>
      </c>
      <c r="E40" s="350" t="s">
        <v>15</v>
      </c>
      <c r="F40" s="328" t="s">
        <v>15</v>
      </c>
      <c r="G40" s="329"/>
      <c r="H40" s="328" t="s">
        <v>15</v>
      </c>
      <c r="I40" s="329"/>
      <c r="J40" s="346" t="s">
        <v>15</v>
      </c>
      <c r="K40" s="347"/>
      <c r="L40" s="350" t="s">
        <v>15</v>
      </c>
      <c r="M40" s="321" t="s">
        <v>144</v>
      </c>
      <c r="N40" s="271"/>
      <c r="AE40" s="4"/>
      <c r="AF40" s="4"/>
      <c r="AG40" s="4"/>
      <c r="AH40" s="4"/>
      <c r="AI40" s="8"/>
      <c r="AK40" s="4"/>
      <c r="AL40" s="4"/>
      <c r="AM40" s="4"/>
      <c r="AN40" s="4"/>
      <c r="AO40" s="8"/>
    </row>
    <row r="41" spans="1:42" ht="13.8" thickBot="1">
      <c r="A41" s="354"/>
      <c r="B41" s="355"/>
      <c r="C41" s="351"/>
      <c r="D41" s="351"/>
      <c r="E41" s="351"/>
      <c r="F41" s="330"/>
      <c r="G41" s="331"/>
      <c r="H41" s="330"/>
      <c r="I41" s="331"/>
      <c r="J41" s="348"/>
      <c r="K41" s="349"/>
      <c r="L41" s="351"/>
      <c r="M41" s="344">
        <f>+M37-M38</f>
        <v>2.6094814475349022</v>
      </c>
      <c r="N41" s="345"/>
      <c r="P41" s="30"/>
      <c r="AD41" s="9"/>
      <c r="AE41" s="1"/>
      <c r="AF41" s="1"/>
      <c r="AG41" s="1"/>
      <c r="AH41" s="9"/>
      <c r="AI41" s="6"/>
      <c r="AK41" s="1"/>
      <c r="AL41" s="1"/>
      <c r="AM41" s="1"/>
      <c r="AN41" s="9"/>
      <c r="AO41" s="6"/>
    </row>
    <row r="42" spans="1:42">
      <c r="A42" s="333" t="s">
        <v>145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</row>
    <row r="45" spans="1:42" ht="13.8" thickBo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6"/>
    </row>
    <row r="46" spans="1:42" ht="14.4" thickTop="1" thickBot="1">
      <c r="A46" s="233" t="s">
        <v>150</v>
      </c>
      <c r="B46" s="234"/>
      <c r="C46" s="234"/>
      <c r="D46" s="234"/>
      <c r="E46" s="234"/>
      <c r="F46" s="234"/>
      <c r="G46" s="234"/>
      <c r="H46" s="234"/>
      <c r="I46" s="335"/>
      <c r="J46" s="335"/>
      <c r="K46" s="335"/>
      <c r="L46" s="335"/>
      <c r="M46" s="335"/>
      <c r="N46" s="335"/>
    </row>
    <row r="47" spans="1:42">
      <c r="A47" s="336" t="s">
        <v>17</v>
      </c>
      <c r="B47" s="337"/>
      <c r="C47" s="5" t="s">
        <v>18</v>
      </c>
      <c r="D47" s="338" t="s">
        <v>19</v>
      </c>
      <c r="E47" s="282"/>
      <c r="F47" s="58" t="s">
        <v>20</v>
      </c>
      <c r="G47" s="339" t="s">
        <v>21</v>
      </c>
      <c r="H47" s="340"/>
      <c r="I47" s="58" t="s">
        <v>22</v>
      </c>
      <c r="J47" s="339" t="s">
        <v>23</v>
      </c>
      <c r="K47" s="341"/>
      <c r="L47" s="58" t="s">
        <v>24</v>
      </c>
      <c r="M47" s="342" t="s">
        <v>25</v>
      </c>
      <c r="N47" s="343"/>
    </row>
    <row r="48" spans="1:42" ht="14.4" customHeight="1">
      <c r="A48" s="231" t="s">
        <v>40</v>
      </c>
      <c r="B48" s="312"/>
      <c r="C48" s="312" t="s">
        <v>42</v>
      </c>
      <c r="D48" s="312" t="s">
        <v>350</v>
      </c>
      <c r="E48" s="298"/>
      <c r="F48" s="312" t="s">
        <v>334</v>
      </c>
      <c r="G48" s="312" t="s">
        <v>351</v>
      </c>
      <c r="H48" s="312"/>
      <c r="I48" s="312" t="s">
        <v>151</v>
      </c>
      <c r="J48" s="312" t="s">
        <v>153</v>
      </c>
      <c r="K48" s="312"/>
      <c r="L48" s="312" t="s">
        <v>152</v>
      </c>
      <c r="M48" s="312" t="s">
        <v>352</v>
      </c>
      <c r="N48" s="230"/>
    </row>
    <row r="49" spans="1:14" ht="14.4" customHeight="1">
      <c r="A49" s="231"/>
      <c r="B49" s="312"/>
      <c r="C49" s="297"/>
      <c r="D49" s="298"/>
      <c r="E49" s="298"/>
      <c r="F49" s="297"/>
      <c r="G49" s="297"/>
      <c r="H49" s="297"/>
      <c r="I49" s="297"/>
      <c r="J49" s="297"/>
      <c r="K49" s="297"/>
      <c r="L49" s="297"/>
      <c r="M49" s="297"/>
      <c r="N49" s="271"/>
    </row>
    <row r="50" spans="1:14" ht="14.4" customHeight="1">
      <c r="A50" s="357"/>
      <c r="B50" s="297"/>
      <c r="C50" s="297"/>
      <c r="D50" s="298"/>
      <c r="E50" s="298"/>
      <c r="F50" s="297"/>
      <c r="G50" s="297"/>
      <c r="H50" s="297"/>
      <c r="I50" s="297"/>
      <c r="J50" s="297"/>
      <c r="K50" s="297"/>
      <c r="L50" s="297"/>
      <c r="M50" s="297"/>
      <c r="N50" s="271"/>
    </row>
    <row r="51" spans="1:14">
      <c r="A51" s="357"/>
      <c r="B51" s="297"/>
      <c r="C51" s="358" t="s">
        <v>390</v>
      </c>
      <c r="D51" s="359" t="s">
        <v>154</v>
      </c>
      <c r="E51" s="360"/>
      <c r="F51" s="358" t="s">
        <v>390</v>
      </c>
      <c r="G51" s="359" t="s">
        <v>155</v>
      </c>
      <c r="H51" s="360"/>
      <c r="I51" s="358" t="s">
        <v>390</v>
      </c>
      <c r="J51" s="359" t="s">
        <v>156</v>
      </c>
      <c r="K51" s="360"/>
      <c r="L51" s="358" t="s">
        <v>390</v>
      </c>
      <c r="M51" s="359" t="s">
        <v>157</v>
      </c>
      <c r="N51" s="361"/>
    </row>
    <row r="52" spans="1:14" ht="14.25" customHeight="1">
      <c r="A52" s="357"/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71"/>
    </row>
    <row r="53" spans="1:14">
      <c r="A53" s="259" t="s">
        <v>37</v>
      </c>
      <c r="B53" s="298"/>
      <c r="C53" s="3">
        <f>IF('Segment Tables'!$D$24="No",SUM('Segment Tables'!$E$26:$E$31),SUM('Segment Tables'!$I$26:$I$31))</f>
        <v>0.99899999999999989</v>
      </c>
      <c r="D53" s="322">
        <f>+M37</f>
        <v>3.7278306393355742</v>
      </c>
      <c r="E53" s="323"/>
      <c r="F53" s="3">
        <f>IF('Segment Tables'!$D$24="No",SUM('Segment Tables'!$F$26:$F$31),SUM('Segment Tables'!$J$26:$J$31))</f>
        <v>1</v>
      </c>
      <c r="G53" s="322">
        <f>+M38</f>
        <v>1.1183491918006723</v>
      </c>
      <c r="H53" s="323"/>
      <c r="I53" s="3" t="str">
        <f>IF('Segment Tables'!$D$24="No",SUM('Segment Tables'!$G$26:$G$31),"--")</f>
        <v>--</v>
      </c>
      <c r="J53" s="322" t="str">
        <f>IF('Segment Tables'!$D$24="No",+M39,"--")</f>
        <v>--</v>
      </c>
      <c r="K53" s="323"/>
      <c r="L53" s="3">
        <f>IF('Segment Tables'!D$24="No",SUM('Segment Tables'!$H$26:$H$31),SUM('Segment Tables'!$L$26:$L$31))</f>
        <v>1</v>
      </c>
      <c r="M53" s="322">
        <f>+M41</f>
        <v>2.6094814475349022</v>
      </c>
      <c r="N53" s="356"/>
    </row>
    <row r="54" spans="1:14" ht="16.8">
      <c r="A54" s="362"/>
      <c r="B54" s="363"/>
      <c r="C54" s="12"/>
      <c r="D54" s="321" t="s">
        <v>158</v>
      </c>
      <c r="E54" s="363"/>
      <c r="F54" s="12"/>
      <c r="G54" s="364" t="s">
        <v>159</v>
      </c>
      <c r="H54" s="298"/>
      <c r="I54" s="12"/>
      <c r="J54" s="321" t="s">
        <v>160</v>
      </c>
      <c r="K54" s="297"/>
      <c r="L54" s="12"/>
      <c r="M54" s="321" t="s">
        <v>161</v>
      </c>
      <c r="N54" s="271"/>
    </row>
    <row r="55" spans="1:14">
      <c r="A55" s="386" t="s">
        <v>44</v>
      </c>
      <c r="B55" s="298"/>
      <c r="C55" s="3">
        <f>IF('Segment Tables'!$D$24="No",'Segment Tables'!E26,'Segment Tables'!I26)</f>
        <v>5.0000000000000001E-3</v>
      </c>
      <c r="D55" s="322">
        <f t="shared" ref="D55:D60" si="0">+C55*$D$53</f>
        <v>1.863915319667787E-2</v>
      </c>
      <c r="E55" s="323"/>
      <c r="F55" s="3">
        <f>IF('Segment Tables'!$D$24="No",'Segment Tables'!F26,'Segment Tables'!J26)</f>
        <v>4.0000000000000001E-3</v>
      </c>
      <c r="G55" s="322">
        <f t="shared" ref="G55:G60" si="1">+F55*$G$53</f>
        <v>4.4733967672026895E-3</v>
      </c>
      <c r="H55" s="323"/>
      <c r="I55" s="3" t="str">
        <f>IF('Segment Tables'!$D$24="No",'Segment Tables'!G26,"--")</f>
        <v>--</v>
      </c>
      <c r="J55" s="322" t="str">
        <f>IF('Segment Tables'!$D$24="No",+$J$53*I55,"--")</f>
        <v>--</v>
      </c>
      <c r="K55" s="323"/>
      <c r="L55" s="3">
        <f>IF('Segment Tables'!$D$24="No",'Segment Tables'!H26,'Segment Tables'!L26)</f>
        <v>6.0000000000000001E-3</v>
      </c>
      <c r="M55" s="322">
        <f t="shared" ref="M55:M60" si="2">+$M$53*L55</f>
        <v>1.5656888685209414E-2</v>
      </c>
      <c r="N55" s="356"/>
    </row>
    <row r="56" spans="1:14">
      <c r="A56" s="386" t="s">
        <v>46</v>
      </c>
      <c r="B56" s="298"/>
      <c r="C56" s="3">
        <f>IF('Segment Tables'!$D$24="No",'Segment Tables'!E27,'Segment Tables'!I27)</f>
        <v>5.5E-2</v>
      </c>
      <c r="D56" s="322">
        <f t="shared" si="0"/>
        <v>0.20503068516345657</v>
      </c>
      <c r="E56" s="323"/>
      <c r="F56" s="3">
        <f>IF('Segment Tables'!$D$24="No",'Segment Tables'!F27,'Segment Tables'!J27)</f>
        <v>0.1</v>
      </c>
      <c r="G56" s="322">
        <f t="shared" si="1"/>
        <v>0.11183491918006723</v>
      </c>
      <c r="H56" s="323"/>
      <c r="I56" s="3" t="str">
        <f>IF('Segment Tables'!$D$24="No",'Segment Tables'!G27,"--")</f>
        <v>--</v>
      </c>
      <c r="J56" s="322" t="str">
        <f>IF('Segment Tables'!$D$24="No",+$J$53*I56,"--")</f>
        <v>--</v>
      </c>
      <c r="K56" s="323"/>
      <c r="L56" s="3">
        <f>IF('Segment Tables'!$D$24="No",'Segment Tables'!H27,'Segment Tables'!L27)</f>
        <v>6.5000000000000002E-2</v>
      </c>
      <c r="M56" s="322">
        <f t="shared" si="2"/>
        <v>0.16961629408976864</v>
      </c>
      <c r="N56" s="356"/>
    </row>
    <row r="57" spans="1:14">
      <c r="A57" s="365" t="s">
        <v>45</v>
      </c>
      <c r="B57" s="298"/>
      <c r="C57" s="3">
        <f>IF('Segment Tables'!$D$24="No",'Segment Tables'!E28,'Segment Tables'!I28)</f>
        <v>0.19600000000000001</v>
      </c>
      <c r="D57" s="322">
        <f t="shared" si="0"/>
        <v>0.73065480530977256</v>
      </c>
      <c r="E57" s="323"/>
      <c r="F57" s="3">
        <f>IF('Segment Tables'!$D$24="No",'Segment Tables'!F28,'Segment Tables'!J28)</f>
        <v>0.13300000000000001</v>
      </c>
      <c r="G57" s="322">
        <f t="shared" si="1"/>
        <v>0.14874044250948942</v>
      </c>
      <c r="H57" s="323"/>
      <c r="I57" s="3" t="str">
        <f>IF('Segment Tables'!$D$24="No",'Segment Tables'!G28,"--")</f>
        <v>--</v>
      </c>
      <c r="J57" s="322" t="str">
        <f>IF('Segment Tables'!$D$24="No",+$J$53*I57,"--")</f>
        <v>--</v>
      </c>
      <c r="K57" s="323"/>
      <c r="L57" s="3">
        <f>IF('Segment Tables'!$D$24="No",'Segment Tables'!H28,'Segment Tables'!L28)</f>
        <v>0.193</v>
      </c>
      <c r="M57" s="322">
        <f t="shared" si="2"/>
        <v>0.50362991937423618</v>
      </c>
      <c r="N57" s="356"/>
    </row>
    <row r="58" spans="1:14">
      <c r="A58" s="386" t="s">
        <v>43</v>
      </c>
      <c r="B58" s="298"/>
      <c r="C58" s="3">
        <f>IF('Segment Tables'!$D$24="No",'Segment Tables'!E29,'Segment Tables'!I29)</f>
        <v>6.5000000000000002E-2</v>
      </c>
      <c r="D58" s="322">
        <f t="shared" si="0"/>
        <v>0.24230899155681232</v>
      </c>
      <c r="E58" s="323"/>
      <c r="F58" s="3">
        <f>IF('Segment Tables'!$D$24="No",'Segment Tables'!F29,'Segment Tables'!J29)</f>
        <v>3.6999999999999998E-2</v>
      </c>
      <c r="G58" s="322">
        <f t="shared" si="1"/>
        <v>4.1378920096624874E-2</v>
      </c>
      <c r="H58" s="323"/>
      <c r="I58" s="3" t="str">
        <f>IF('Segment Tables'!$D$24="No",'Segment Tables'!G29,"--")</f>
        <v>--</v>
      </c>
      <c r="J58" s="322" t="str">
        <f>IF('Segment Tables'!$D$24="No",+$J$53*I58,"--")</f>
        <v>--</v>
      </c>
      <c r="K58" s="323"/>
      <c r="L58" s="3">
        <f>IF('Segment Tables'!$D$24="No",'Segment Tables'!H29,'Segment Tables'!L29)</f>
        <v>6.8000000000000005E-2</v>
      </c>
      <c r="M58" s="322">
        <f t="shared" si="2"/>
        <v>0.17744473843237335</v>
      </c>
      <c r="N58" s="356"/>
    </row>
    <row r="59" spans="1:14">
      <c r="A59" s="386" t="s">
        <v>162</v>
      </c>
      <c r="B59" s="298"/>
      <c r="C59" s="3">
        <f>IF('Segment Tables'!$D$24="No",'Segment Tables'!E30,'Segment Tables'!I30)</f>
        <v>0.61299999999999999</v>
      </c>
      <c r="D59" s="322">
        <f t="shared" si="0"/>
        <v>2.285160181912707</v>
      </c>
      <c r="E59" s="323"/>
      <c r="F59" s="3">
        <f>IF('Segment Tables'!$D$24="No",'Segment Tables'!F30,'Segment Tables'!J30)</f>
        <v>0.68500000000000005</v>
      </c>
      <c r="G59" s="322">
        <f t="shared" si="1"/>
        <v>0.7660691963834606</v>
      </c>
      <c r="H59" s="323"/>
      <c r="I59" s="3" t="str">
        <f>IF('Segment Tables'!$D$24="No",'Segment Tables'!G30,"--")</f>
        <v>--</v>
      </c>
      <c r="J59" s="322" t="str">
        <f>IF('Segment Tables'!$D$24="No",+$J$53*I59,"--")</f>
        <v>--</v>
      </c>
      <c r="K59" s="323"/>
      <c r="L59" s="3">
        <f>IF('Segment Tables'!$D$24="No",'Segment Tables'!H30,'Segment Tables'!L30)</f>
        <v>0.60899999999999999</v>
      </c>
      <c r="M59" s="322">
        <f t="shared" si="2"/>
        <v>1.5891742015487553</v>
      </c>
      <c r="N59" s="356"/>
    </row>
    <row r="60" spans="1:14" ht="13.8" thickBot="1">
      <c r="A60" s="366" t="s">
        <v>163</v>
      </c>
      <c r="B60" s="367"/>
      <c r="C60" s="3">
        <f>IF('Segment Tables'!$D$24="No",'Segment Tables'!E31,'Segment Tables'!I31)</f>
        <v>6.5000000000000002E-2</v>
      </c>
      <c r="D60" s="322">
        <f t="shared" si="0"/>
        <v>0.24230899155681232</v>
      </c>
      <c r="E60" s="323"/>
      <c r="F60" s="3">
        <f>IF('Segment Tables'!$D$24="No",'Segment Tables'!F31,'Segment Tables'!J31)</f>
        <v>4.1000000000000002E-2</v>
      </c>
      <c r="G60" s="322">
        <f t="shared" si="1"/>
        <v>4.5852316863827562E-2</v>
      </c>
      <c r="H60" s="323"/>
      <c r="I60" s="3" t="str">
        <f>IF('Segment Tables'!$D$24="No",'Segment Tables'!G31,"--")</f>
        <v>--</v>
      </c>
      <c r="J60" s="322" t="str">
        <f>IF('Segment Tables'!$D$24="No",+$J$53*I60,"--")</f>
        <v>--</v>
      </c>
      <c r="K60" s="323"/>
      <c r="L60" s="3">
        <f>IF('Segment Tables'!$D$24="No",'Segment Tables'!H31,'Segment Tables'!L31)</f>
        <v>5.8999999999999997E-2</v>
      </c>
      <c r="M60" s="322">
        <f t="shared" si="2"/>
        <v>0.15395940540455921</v>
      </c>
      <c r="N60" s="356"/>
    </row>
    <row r="61" spans="1:14">
      <c r="A61" s="333" t="s">
        <v>145</v>
      </c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</row>
    <row r="63" spans="1:14" ht="13.8" thickBot="1">
      <c r="A63" s="4"/>
      <c r="B63" s="1"/>
      <c r="C63" s="1"/>
      <c r="D63" s="1"/>
      <c r="E63" s="1"/>
      <c r="F63" s="1"/>
      <c r="G63" s="1"/>
      <c r="H63" s="1"/>
    </row>
    <row r="64" spans="1:14" ht="14.4" thickTop="1" thickBot="1">
      <c r="A64" s="233" t="s">
        <v>169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</row>
    <row r="65" spans="1:14">
      <c r="A65" s="368" t="s">
        <v>17</v>
      </c>
      <c r="B65" s="369"/>
      <c r="C65" s="369"/>
      <c r="D65" s="307" t="s">
        <v>18</v>
      </c>
      <c r="E65" s="369"/>
      <c r="F65" s="369"/>
      <c r="G65" s="369"/>
      <c r="H65" s="369"/>
      <c r="I65" s="375" t="s">
        <v>19</v>
      </c>
      <c r="J65" s="369"/>
      <c r="K65" s="369"/>
      <c r="L65" s="307" t="s">
        <v>20</v>
      </c>
      <c r="M65" s="369"/>
      <c r="N65" s="376"/>
    </row>
    <row r="66" spans="1:14">
      <c r="A66" s="377" t="s">
        <v>47</v>
      </c>
      <c r="B66" s="378"/>
      <c r="C66" s="378"/>
      <c r="D66" s="380" t="s">
        <v>48</v>
      </c>
      <c r="E66" s="298"/>
      <c r="F66" s="298"/>
      <c r="G66" s="298"/>
      <c r="H66" s="298"/>
      <c r="I66" s="381" t="s">
        <v>49</v>
      </c>
      <c r="J66" s="311"/>
      <c r="K66" s="311"/>
      <c r="L66" s="380" t="s">
        <v>50</v>
      </c>
      <c r="M66" s="380"/>
      <c r="N66" s="267"/>
    </row>
    <row r="67" spans="1:14">
      <c r="A67" s="379"/>
      <c r="B67" s="378"/>
      <c r="C67" s="378"/>
      <c r="D67" s="364" t="s">
        <v>170</v>
      </c>
      <c r="E67" s="297"/>
      <c r="F67" s="297"/>
      <c r="G67" s="297"/>
      <c r="H67" s="297"/>
      <c r="I67" s="382"/>
      <c r="J67" s="382"/>
      <c r="K67" s="382"/>
      <c r="L67" s="364" t="s">
        <v>171</v>
      </c>
      <c r="M67" s="297"/>
      <c r="N67" s="271"/>
    </row>
    <row r="68" spans="1:14">
      <c r="A68" s="372" t="s">
        <v>37</v>
      </c>
      <c r="B68" s="373"/>
      <c r="C68" s="373"/>
      <c r="D68" s="374">
        <f>+M37</f>
        <v>3.7278306393355742</v>
      </c>
      <c r="E68" s="374"/>
      <c r="F68" s="374"/>
      <c r="G68" s="374"/>
      <c r="H68" s="374"/>
      <c r="I68" s="370">
        <f>+$J$10</f>
        <v>1.5</v>
      </c>
      <c r="J68" s="370"/>
      <c r="K68" s="370"/>
      <c r="L68" s="370">
        <f>+D68/I68</f>
        <v>2.4852204262237163</v>
      </c>
      <c r="M68" s="370"/>
      <c r="N68" s="371"/>
    </row>
    <row r="69" spans="1:14">
      <c r="A69" s="372" t="s">
        <v>38</v>
      </c>
      <c r="B69" s="373"/>
      <c r="C69" s="373"/>
      <c r="D69" s="374">
        <f>+M38</f>
        <v>1.1183491918006723</v>
      </c>
      <c r="E69" s="374"/>
      <c r="F69" s="374"/>
      <c r="G69" s="374"/>
      <c r="H69" s="374"/>
      <c r="I69" s="370">
        <f>+$J$10</f>
        <v>1.5</v>
      </c>
      <c r="J69" s="370"/>
      <c r="K69" s="370"/>
      <c r="L69" s="370">
        <f>+D69/I69</f>
        <v>0.74556612786711485</v>
      </c>
      <c r="M69" s="370"/>
      <c r="N69" s="371"/>
    </row>
    <row r="70" spans="1:14" ht="15.6">
      <c r="A70" s="365" t="s">
        <v>143</v>
      </c>
      <c r="B70" s="373"/>
      <c r="C70" s="373"/>
      <c r="D70" s="374">
        <f>+M39</f>
        <v>0.77166094234246396</v>
      </c>
      <c r="E70" s="374"/>
      <c r="F70" s="374"/>
      <c r="G70" s="374"/>
      <c r="H70" s="374"/>
      <c r="I70" s="370">
        <f>+$J$10</f>
        <v>1.5</v>
      </c>
      <c r="J70" s="370"/>
      <c r="K70" s="370"/>
      <c r="L70" s="370">
        <f>+D70/I70</f>
        <v>0.51444062822830927</v>
      </c>
      <c r="M70" s="370"/>
      <c r="N70" s="371"/>
    </row>
    <row r="71" spans="1:14" ht="13.8" thickBot="1">
      <c r="A71" s="383" t="s">
        <v>39</v>
      </c>
      <c r="B71" s="384"/>
      <c r="C71" s="384"/>
      <c r="D71" s="385">
        <f>+M41</f>
        <v>2.6094814475349022</v>
      </c>
      <c r="E71" s="385"/>
      <c r="F71" s="385"/>
      <c r="G71" s="385"/>
      <c r="H71" s="385"/>
      <c r="I71" s="370">
        <f>+$J$10</f>
        <v>1.5</v>
      </c>
      <c r="J71" s="370"/>
      <c r="K71" s="370"/>
      <c r="L71" s="370">
        <f>+D71/I71</f>
        <v>1.7396542983566015</v>
      </c>
      <c r="M71" s="370"/>
      <c r="N71" s="371"/>
    </row>
    <row r="72" spans="1:14">
      <c r="A72" s="333" t="s">
        <v>145</v>
      </c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</row>
    <row r="73" spans="1:14">
      <c r="C73" s="1"/>
      <c r="D73" s="1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>
      <c r="C74" s="1"/>
      <c r="D74" s="1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>
      <c r="C75" s="1"/>
      <c r="D75" s="1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>
      <c r="C76" s="1"/>
      <c r="D76" s="1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>
      <c r="A77" s="26"/>
      <c r="C77" s="1"/>
      <c r="D77" s="1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81" spans="1:14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>
      <c r="A83" s="44"/>
      <c r="B83" s="44"/>
      <c r="C83" s="44"/>
      <c r="D83" s="44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>
      <c r="A84" s="44"/>
      <c r="B84" s="44"/>
      <c r="C84" s="44"/>
      <c r="D84" s="44"/>
      <c r="E84" s="22"/>
      <c r="H84" s="22"/>
      <c r="I84" s="22"/>
      <c r="J84" s="22"/>
      <c r="K84" s="45"/>
      <c r="L84" s="45"/>
      <c r="M84" s="22"/>
      <c r="N84" s="22"/>
    </row>
    <row r="85" spans="1:14">
      <c r="A85" s="46"/>
      <c r="B85" s="46"/>
      <c r="C85" s="46"/>
      <c r="D85" s="46"/>
      <c r="E85" s="36"/>
      <c r="F85" s="1"/>
      <c r="G85" s="1"/>
      <c r="H85" s="36"/>
      <c r="I85" s="1"/>
      <c r="J85" s="1"/>
      <c r="K85" s="1"/>
      <c r="L85" s="1"/>
      <c r="M85" s="10"/>
      <c r="N85" s="10"/>
    </row>
    <row r="86" spans="1:14">
      <c r="A86" s="46"/>
      <c r="B86" s="46"/>
      <c r="C86" s="46"/>
      <c r="D86" s="46"/>
      <c r="E86" s="36"/>
      <c r="F86" s="1"/>
      <c r="G86" s="1"/>
      <c r="H86" s="36"/>
      <c r="I86" s="1"/>
      <c r="J86" s="1"/>
      <c r="K86" s="1"/>
      <c r="L86" s="1"/>
      <c r="M86" s="10"/>
      <c r="N86" s="10"/>
    </row>
    <row r="87" spans="1:14">
      <c r="A87" s="46"/>
      <c r="B87" s="46"/>
      <c r="C87" s="46"/>
      <c r="D87" s="46"/>
      <c r="E87" s="36"/>
      <c r="F87" s="1"/>
      <c r="G87" s="1"/>
      <c r="H87" s="36"/>
      <c r="I87" s="1"/>
      <c r="J87" s="1"/>
      <c r="K87" s="1"/>
      <c r="L87" s="1"/>
      <c r="M87" s="10"/>
      <c r="N87" s="10"/>
    </row>
  </sheetData>
  <sheetProtection sheet="1" objects="1" scenarios="1"/>
  <mergeCells count="235">
    <mergeCell ref="R13:S13"/>
    <mergeCell ref="R6:V7"/>
    <mergeCell ref="R8:S9"/>
    <mergeCell ref="T8:V8"/>
    <mergeCell ref="R16:S16"/>
    <mergeCell ref="R11:S11"/>
    <mergeCell ref="R14:S14"/>
    <mergeCell ref="R10:S10"/>
    <mergeCell ref="R15:S15"/>
    <mergeCell ref="L67:N67"/>
    <mergeCell ref="A68:C68"/>
    <mergeCell ref="D68:H68"/>
    <mergeCell ref="A70:C70"/>
    <mergeCell ref="M54:N54"/>
    <mergeCell ref="A58:B58"/>
    <mergeCell ref="D58:E58"/>
    <mergeCell ref="G58:H58"/>
    <mergeCell ref="J58:K58"/>
    <mergeCell ref="M58:N58"/>
    <mergeCell ref="A59:B59"/>
    <mergeCell ref="D59:E59"/>
    <mergeCell ref="G59:H59"/>
    <mergeCell ref="J59:K59"/>
    <mergeCell ref="M57:N57"/>
    <mergeCell ref="A55:B55"/>
    <mergeCell ref="D55:E55"/>
    <mergeCell ref="G55:H55"/>
    <mergeCell ref="J55:K55"/>
    <mergeCell ref="M55:N55"/>
    <mergeCell ref="A61:N61"/>
    <mergeCell ref="A56:B56"/>
    <mergeCell ref="D56:E56"/>
    <mergeCell ref="G56:H56"/>
    <mergeCell ref="A72:N72"/>
    <mergeCell ref="A64:N64"/>
    <mergeCell ref="A65:C65"/>
    <mergeCell ref="D65:H65"/>
    <mergeCell ref="L70:N70"/>
    <mergeCell ref="L68:N68"/>
    <mergeCell ref="A69:C69"/>
    <mergeCell ref="D69:H69"/>
    <mergeCell ref="I69:K69"/>
    <mergeCell ref="I70:K70"/>
    <mergeCell ref="I65:K65"/>
    <mergeCell ref="L65:N65"/>
    <mergeCell ref="A66:C67"/>
    <mergeCell ref="D66:H66"/>
    <mergeCell ref="I66:K67"/>
    <mergeCell ref="L66:N66"/>
    <mergeCell ref="D67:H67"/>
    <mergeCell ref="I68:K68"/>
    <mergeCell ref="D70:H70"/>
    <mergeCell ref="L69:N69"/>
    <mergeCell ref="A71:C71"/>
    <mergeCell ref="D71:H71"/>
    <mergeCell ref="I71:K71"/>
    <mergeCell ref="L71:N71"/>
    <mergeCell ref="J56:K56"/>
    <mergeCell ref="M56:N56"/>
    <mergeCell ref="A57:B57"/>
    <mergeCell ref="D57:E57"/>
    <mergeCell ref="G57:H57"/>
    <mergeCell ref="J57:K57"/>
    <mergeCell ref="M59:N59"/>
    <mergeCell ref="A60:B60"/>
    <mergeCell ref="D60:E60"/>
    <mergeCell ref="G60:H60"/>
    <mergeCell ref="J60:K60"/>
    <mergeCell ref="M60:N60"/>
    <mergeCell ref="A54:B54"/>
    <mergeCell ref="D54:E54"/>
    <mergeCell ref="G54:H54"/>
    <mergeCell ref="J54:K54"/>
    <mergeCell ref="J48:K50"/>
    <mergeCell ref="A53:B53"/>
    <mergeCell ref="D53:E53"/>
    <mergeCell ref="G53:H53"/>
    <mergeCell ref="D51:E52"/>
    <mergeCell ref="F51:F52"/>
    <mergeCell ref="M53:N53"/>
    <mergeCell ref="A48:B52"/>
    <mergeCell ref="C48:C50"/>
    <mergeCell ref="D48:E50"/>
    <mergeCell ref="F48:F50"/>
    <mergeCell ref="L51:L52"/>
    <mergeCell ref="L48:L50"/>
    <mergeCell ref="M48:N50"/>
    <mergeCell ref="C51:C52"/>
    <mergeCell ref="G51:H52"/>
    <mergeCell ref="I51:I52"/>
    <mergeCell ref="J51:K52"/>
    <mergeCell ref="G48:H50"/>
    <mergeCell ref="I48:I50"/>
    <mergeCell ref="J53:K53"/>
    <mergeCell ref="M51:N52"/>
    <mergeCell ref="A42:N42"/>
    <mergeCell ref="A46:N46"/>
    <mergeCell ref="A47:B47"/>
    <mergeCell ref="D47:E47"/>
    <mergeCell ref="G47:H47"/>
    <mergeCell ref="J47:K47"/>
    <mergeCell ref="M47:N47"/>
    <mergeCell ref="M41:N41"/>
    <mergeCell ref="J40:K41"/>
    <mergeCell ref="L40:L41"/>
    <mergeCell ref="M40:N40"/>
    <mergeCell ref="A40:B41"/>
    <mergeCell ref="C40:C41"/>
    <mergeCell ref="D40:D41"/>
    <mergeCell ref="E40:E41"/>
    <mergeCell ref="F40:G41"/>
    <mergeCell ref="A37:B37"/>
    <mergeCell ref="F37:G37"/>
    <mergeCell ref="H37:I37"/>
    <mergeCell ref="J37:K37"/>
    <mergeCell ref="M37:N37"/>
    <mergeCell ref="H40:I41"/>
    <mergeCell ref="A39:B39"/>
    <mergeCell ref="F39:G39"/>
    <mergeCell ref="H39:I39"/>
    <mergeCell ref="J39:K39"/>
    <mergeCell ref="M39:N39"/>
    <mergeCell ref="A38:B38"/>
    <mergeCell ref="F38:G38"/>
    <mergeCell ref="H38:I38"/>
    <mergeCell ref="J38:K38"/>
    <mergeCell ref="M38:N38"/>
    <mergeCell ref="A34:B36"/>
    <mergeCell ref="C34:E34"/>
    <mergeCell ref="F34:G35"/>
    <mergeCell ref="J34:K34"/>
    <mergeCell ref="L34:L36"/>
    <mergeCell ref="M34:N35"/>
    <mergeCell ref="C35:E35"/>
    <mergeCell ref="J35:K36"/>
    <mergeCell ref="F36:G36"/>
    <mergeCell ref="H36:I36"/>
    <mergeCell ref="M36:N36"/>
    <mergeCell ref="A28:B28"/>
    <mergeCell ref="C28:E28"/>
    <mergeCell ref="F28:G28"/>
    <mergeCell ref="A27:B27"/>
    <mergeCell ref="C27:E27"/>
    <mergeCell ref="F27:G27"/>
    <mergeCell ref="A32:N32"/>
    <mergeCell ref="A33:B33"/>
    <mergeCell ref="C33:E33"/>
    <mergeCell ref="F33:G33"/>
    <mergeCell ref="H33:I33"/>
    <mergeCell ref="J33:K33"/>
    <mergeCell ref="H28:I28"/>
    <mergeCell ref="J28:L28"/>
    <mergeCell ref="M28:N28"/>
    <mergeCell ref="M33:N33"/>
    <mergeCell ref="M26:N26"/>
    <mergeCell ref="M23:N23"/>
    <mergeCell ref="H27:I27"/>
    <mergeCell ref="J27:L27"/>
    <mergeCell ref="M27:N27"/>
    <mergeCell ref="A26:B26"/>
    <mergeCell ref="C26:E26"/>
    <mergeCell ref="F26:G26"/>
    <mergeCell ref="H26:I26"/>
    <mergeCell ref="J26:L26"/>
    <mergeCell ref="H23:I23"/>
    <mergeCell ref="J23:L23"/>
    <mergeCell ref="A22:N22"/>
    <mergeCell ref="A23:B23"/>
    <mergeCell ref="C23:E23"/>
    <mergeCell ref="F23:G23"/>
    <mergeCell ref="A24:B25"/>
    <mergeCell ref="C24:E25"/>
    <mergeCell ref="F24:G25"/>
    <mergeCell ref="H24:I25"/>
    <mergeCell ref="J24:L25"/>
    <mergeCell ref="M24:N25"/>
    <mergeCell ref="A15:G15"/>
    <mergeCell ref="H15:I15"/>
    <mergeCell ref="J15:N15"/>
    <mergeCell ref="A16:G16"/>
    <mergeCell ref="H16:I16"/>
    <mergeCell ref="J16:N16"/>
    <mergeCell ref="A19:G19"/>
    <mergeCell ref="H19:I19"/>
    <mergeCell ref="J19:N19"/>
    <mergeCell ref="A17:G17"/>
    <mergeCell ref="H17:I17"/>
    <mergeCell ref="J17:N17"/>
    <mergeCell ref="A18:G18"/>
    <mergeCell ref="H18:I18"/>
    <mergeCell ref="J18:N18"/>
    <mergeCell ref="H11:I11"/>
    <mergeCell ref="J11:N11"/>
    <mergeCell ref="A14:G14"/>
    <mergeCell ref="H14:I14"/>
    <mergeCell ref="J14:N14"/>
    <mergeCell ref="A13:G13"/>
    <mergeCell ref="H13:I13"/>
    <mergeCell ref="J13:N13"/>
    <mergeCell ref="H12:I12"/>
    <mergeCell ref="A11:C11"/>
    <mergeCell ref="A9:G9"/>
    <mergeCell ref="H9:I9"/>
    <mergeCell ref="J9:N9"/>
    <mergeCell ref="A6:C6"/>
    <mergeCell ref="A10:G10"/>
    <mergeCell ref="H10:I10"/>
    <mergeCell ref="J10:N10"/>
    <mergeCell ref="A8:G8"/>
    <mergeCell ref="H8:I8"/>
    <mergeCell ref="J8:N8"/>
    <mergeCell ref="R17:V19"/>
    <mergeCell ref="A12:G12"/>
    <mergeCell ref="J12:N12"/>
    <mergeCell ref="R12:S12"/>
    <mergeCell ref="H34:I34"/>
    <mergeCell ref="H35:I35"/>
    <mergeCell ref="A2:N2"/>
    <mergeCell ref="A3:G3"/>
    <mergeCell ref="H3:N3"/>
    <mergeCell ref="A5:C5"/>
    <mergeCell ref="E5:G5"/>
    <mergeCell ref="H5:J5"/>
    <mergeCell ref="K5:N5"/>
    <mergeCell ref="A4:C4"/>
    <mergeCell ref="E4:G4"/>
    <mergeCell ref="H4:J4"/>
    <mergeCell ref="K4:N4"/>
    <mergeCell ref="A7:C7"/>
    <mergeCell ref="E7:G7"/>
    <mergeCell ref="H7:J7"/>
    <mergeCell ref="K7:N7"/>
    <mergeCell ref="E6:G6"/>
    <mergeCell ref="H6:J6"/>
    <mergeCell ref="K6:N6"/>
  </mergeCells>
  <conditionalFormatting sqref="J11:N11">
    <cfRule type="cellIs" dxfId="32" priority="2" stopIfTrue="1" operator="greaterThan">
      <formula>$F$11</formula>
    </cfRule>
  </conditionalFormatting>
  <conditionalFormatting sqref="O11">
    <cfRule type="expression" dxfId="31" priority="1">
      <formula>J11&gt;F11</formula>
    </cfRule>
  </conditionalFormatting>
  <dataValidations count="12">
    <dataValidation operator="greaterThan" allowBlank="1" showInputMessage="1" showErrorMessage="1" sqref="J9:N9" xr:uid="{00000000-0002-0000-0100-000000000000}"/>
    <dataValidation type="decimal" operator="greaterThan" allowBlank="1" showInputMessage="1" showErrorMessage="1" sqref="J10:N10" xr:uid="{00000000-0002-0000-0100-000001000000}">
      <formula1>0</formula1>
    </dataValidation>
    <dataValidation type="list" allowBlank="1" showInputMessage="1" showErrorMessage="1" sqref="J15:N15" xr:uid="{00000000-0002-0000-0100-000002000000}">
      <formula1>SType</formula1>
    </dataValidation>
    <dataValidation type="list" allowBlank="1" showInputMessage="1" showErrorMessage="1" errorTitle="Input Error" error="Select from the shoulder width options provided.  Refer to p. 11-13 of the HSM for shoulder rounding recommendations." sqref="J14:N14" xr:uid="{00000000-0002-0000-0100-000003000000}">
      <formula1>Shld2</formula1>
    </dataValidation>
    <dataValidation type="list" allowBlank="1" showInputMessage="1" showErrorMessage="1" errorTitle="Input Error" error="Select from the lane width options provided. Refer to p. 11-13 of the HSM for lane width rounding recommendations.  " sqref="J13:N13" xr:uid="{00000000-0002-0000-0100-000004000000}">
      <formula1>LWidth</formula1>
    </dataValidation>
    <dataValidation type="whole" operator="greaterThanOrEqual" allowBlank="1" showInputMessage="1" showErrorMessage="1" sqref="J11:N11" xr:uid="{00000000-0002-0000-0100-000005000000}">
      <formula1>0</formula1>
    </dataValidation>
    <dataValidation type="list" allowBlank="1" showInputMessage="1" showErrorMessage="1" sqref="J17:N17" xr:uid="{00000000-0002-0000-0100-000006000000}">
      <formula1>Lighting</formula1>
    </dataValidation>
    <dataValidation type="list" allowBlank="1" showInputMessage="1" showErrorMessage="1" errorTitle="Invalid" sqref="J18:N18" xr:uid="{00000000-0002-0000-0100-000007000000}">
      <formula1>SpEnforce</formula1>
    </dataValidation>
    <dataValidation type="list" allowBlank="1" showInputMessage="1" showErrorMessage="1" errorTitle="Input Error" error="Please select only median width options shown.  Refer to rounding criteria on p. 11-12 of the HSM for candidate median widths." sqref="J16:N16" xr:uid="{00000000-0002-0000-0100-000008000000}">
      <formula1>MWidth</formula1>
    </dataValidation>
    <dataValidation type="decimal" allowBlank="1" showInputMessage="1" showErrorMessage="1" sqref="J19:N19" xr:uid="{E5790C16-F82B-4D1A-8D51-2DABF2626752}">
      <formula1>0</formula1>
      <formula2>10</formula2>
    </dataValidation>
    <dataValidation type="whole" operator="greaterThan" allowBlank="1" showInputMessage="1" showErrorMessage="1" sqref="K7" xr:uid="{00000000-0002-0000-0100-00000A000000}">
      <formula1>1990</formula1>
    </dataValidation>
    <dataValidation type="list" operator="lessThanOrEqual" allowBlank="1" showInputMessage="1" showErrorMessage="1" sqref="J12:N12" xr:uid="{00000000-0002-0000-0100-00000B000000}">
      <formula1>District</formula1>
    </dataValidation>
  </dataValidations>
  <hyperlinks>
    <hyperlink ref="D11" r:id="rId1" xr:uid="{F8B9D9F4-490C-427C-8696-69B2F65EA57C}"/>
  </hyperlinks>
  <pageMargins left="0.7" right="0.7" top="0.75" bottom="0.75" header="0.3" footer="0.3"/>
  <pageSetup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87"/>
  <sheetViews>
    <sheetView zoomScaleNormal="100" workbookViewId="0">
      <selection activeCell="E4" sqref="E4:G4"/>
    </sheetView>
  </sheetViews>
  <sheetFormatPr defaultRowHeight="13.2"/>
  <cols>
    <col min="1" max="1" width="13.109375" customWidth="1"/>
    <col min="2" max="2" width="14.33203125" customWidth="1"/>
    <col min="3" max="4" width="11.5546875" customWidth="1"/>
    <col min="5" max="5" width="11.109375" customWidth="1"/>
    <col min="6" max="6" width="12.33203125" customWidth="1"/>
    <col min="9" max="9" width="11" customWidth="1"/>
    <col min="11" max="11" width="10.5546875" customWidth="1"/>
    <col min="12" max="12" width="12.21875" customWidth="1"/>
    <col min="13" max="13" width="12.33203125" customWidth="1"/>
    <col min="14" max="14" width="11.33203125" customWidth="1"/>
    <col min="16" max="16" width="3" customWidth="1"/>
    <col min="17" max="17" width="2.5546875" customWidth="1"/>
    <col min="18" max="18" width="11.33203125" customWidth="1"/>
    <col min="19" max="19" width="11" customWidth="1"/>
    <col min="20" max="20" width="12" customWidth="1"/>
    <col min="21" max="21" width="13.33203125" customWidth="1"/>
    <col min="22" max="22" width="10.33203125" customWidth="1"/>
    <col min="23" max="23" width="11" customWidth="1"/>
    <col min="24" max="24" width="10.6640625" customWidth="1"/>
    <col min="25" max="25" width="13.33203125" customWidth="1"/>
    <col min="26" max="26" width="10" customWidth="1"/>
    <col min="27" max="27" width="13.33203125" customWidth="1"/>
    <col min="33" max="33" width="10.6640625" customWidth="1"/>
    <col min="37" max="37" width="10.109375" customWidth="1"/>
  </cols>
  <sheetData>
    <row r="1" spans="1:55" ht="13.8" thickBot="1"/>
    <row r="2" spans="1:55" ht="14.4" thickTop="1" thickBot="1">
      <c r="A2" s="233" t="s">
        <v>414</v>
      </c>
      <c r="B2" s="234"/>
      <c r="C2" s="234"/>
      <c r="D2" s="234"/>
      <c r="E2" s="235"/>
      <c r="F2" s="235"/>
      <c r="G2" s="235"/>
      <c r="H2" s="235"/>
      <c r="I2" s="235"/>
      <c r="J2" s="235"/>
      <c r="K2" s="235"/>
      <c r="L2" s="235"/>
      <c r="M2" s="235"/>
      <c r="N2" s="235"/>
      <c r="R2" s="102" t="s">
        <v>336</v>
      </c>
      <c r="AY2" s="4"/>
      <c r="AZ2" s="4"/>
      <c r="BA2" s="4"/>
      <c r="BB2" s="4"/>
      <c r="BC2" s="4"/>
    </row>
    <row r="3" spans="1:55" ht="13.5" customHeight="1">
      <c r="A3" s="220" t="s">
        <v>0</v>
      </c>
      <c r="B3" s="236"/>
      <c r="C3" s="236"/>
      <c r="D3" s="236"/>
      <c r="E3" s="236"/>
      <c r="F3" s="236"/>
      <c r="G3" s="237"/>
      <c r="H3" s="238" t="s">
        <v>9</v>
      </c>
      <c r="I3" s="239"/>
      <c r="J3" s="239"/>
      <c r="K3" s="239"/>
      <c r="L3" s="239"/>
      <c r="M3" s="239"/>
      <c r="N3" s="239"/>
      <c r="AY3" s="4"/>
      <c r="AZ3" s="4"/>
      <c r="BA3" s="4"/>
      <c r="BB3" s="4"/>
      <c r="BC3" s="4"/>
    </row>
    <row r="4" spans="1:55" ht="15.6">
      <c r="A4" s="244" t="s">
        <v>1</v>
      </c>
      <c r="B4" s="244"/>
      <c r="C4" s="244"/>
      <c r="D4" s="20"/>
      <c r="E4" s="245" t="s">
        <v>426</v>
      </c>
      <c r="F4" s="246"/>
      <c r="G4" s="247"/>
      <c r="H4" s="396" t="s">
        <v>10</v>
      </c>
      <c r="I4" s="244"/>
      <c r="J4" s="261"/>
      <c r="K4" s="245" t="s">
        <v>327</v>
      </c>
      <c r="L4" s="246"/>
      <c r="M4" s="246"/>
      <c r="N4" s="246"/>
      <c r="R4" s="26" t="s">
        <v>185</v>
      </c>
      <c r="V4" s="12">
        <f>VLOOKUP($J$14,$R$34:$V$42,IF($J$11&gt;2000,5,IF($J$11&lt;400,3,4)),FALSE)</f>
        <v>1.3</v>
      </c>
      <c r="AY4" s="8"/>
      <c r="AZ4" s="8"/>
      <c r="BA4" s="4"/>
      <c r="BB4" s="4"/>
      <c r="BC4" s="4"/>
    </row>
    <row r="5" spans="1:55">
      <c r="A5" s="236" t="s">
        <v>2</v>
      </c>
      <c r="B5" s="236"/>
      <c r="C5" s="236"/>
      <c r="D5" s="16"/>
      <c r="E5" s="241" t="s">
        <v>427</v>
      </c>
      <c r="F5" s="242"/>
      <c r="G5" s="243"/>
      <c r="H5" s="251" t="s">
        <v>11</v>
      </c>
      <c r="I5" s="236"/>
      <c r="J5" s="237"/>
      <c r="K5" s="241" t="s">
        <v>330</v>
      </c>
      <c r="L5" s="242"/>
      <c r="M5" s="242"/>
      <c r="N5" s="242"/>
      <c r="AY5" s="8"/>
      <c r="AZ5" s="8"/>
      <c r="BA5" s="4"/>
      <c r="BB5" s="4"/>
      <c r="BC5" s="4"/>
    </row>
    <row r="6" spans="1:55" ht="15.6">
      <c r="A6" s="236" t="s">
        <v>3</v>
      </c>
      <c r="B6" s="236"/>
      <c r="C6" s="236"/>
      <c r="D6" s="16"/>
      <c r="E6" s="254">
        <f ca="1">TODAY()</f>
        <v>45350</v>
      </c>
      <c r="F6" s="255"/>
      <c r="G6" s="256"/>
      <c r="H6" s="251" t="s">
        <v>12</v>
      </c>
      <c r="I6" s="236"/>
      <c r="J6" s="237"/>
      <c r="K6" s="241" t="s">
        <v>329</v>
      </c>
      <c r="L6" s="242"/>
      <c r="M6" s="242"/>
      <c r="N6" s="242"/>
      <c r="R6" s="26" t="s">
        <v>186</v>
      </c>
      <c r="V6" s="12">
        <f>HLOOKUP($J$14,'Segment Tables'!$O$9:$Z$13,MATCH($J$15,'Segment Tables'!$O9:$O$13,0),FALSE)</f>
        <v>1</v>
      </c>
      <c r="AY6" s="9"/>
      <c r="AZ6" s="1"/>
      <c r="BA6" s="30"/>
      <c r="BB6" s="30"/>
      <c r="BC6" s="30"/>
    </row>
    <row r="7" spans="1:55">
      <c r="A7" s="248"/>
      <c r="B7" s="248"/>
      <c r="C7" s="248"/>
      <c r="D7" s="24"/>
      <c r="E7" s="249"/>
      <c r="F7" s="248"/>
      <c r="G7" s="250"/>
      <c r="H7" s="249" t="s">
        <v>13</v>
      </c>
      <c r="I7" s="248"/>
      <c r="J7" s="250"/>
      <c r="K7" s="252">
        <v>2010</v>
      </c>
      <c r="L7" s="253"/>
      <c r="M7" s="253"/>
      <c r="N7" s="253"/>
      <c r="AY7" s="1"/>
      <c r="AZ7" s="1"/>
      <c r="BA7" s="30"/>
      <c r="BB7" s="30"/>
      <c r="BC7" s="30"/>
    </row>
    <row r="8" spans="1:55">
      <c r="A8" s="266" t="s">
        <v>4</v>
      </c>
      <c r="B8" s="258"/>
      <c r="C8" s="258"/>
      <c r="D8" s="258"/>
      <c r="E8" s="258"/>
      <c r="F8" s="258"/>
      <c r="G8" s="259"/>
      <c r="H8" s="267" t="s">
        <v>14</v>
      </c>
      <c r="I8" s="259"/>
      <c r="J8" s="267" t="s">
        <v>16</v>
      </c>
      <c r="K8" s="258"/>
      <c r="L8" s="258"/>
      <c r="M8" s="258"/>
      <c r="N8" s="258"/>
      <c r="AY8" s="9"/>
      <c r="AZ8" s="1"/>
      <c r="BA8" s="30"/>
      <c r="BB8" s="30"/>
      <c r="BC8" s="30"/>
    </row>
    <row r="9" spans="1:55">
      <c r="A9" s="257" t="s">
        <v>411</v>
      </c>
      <c r="B9" s="258"/>
      <c r="C9" s="258"/>
      <c r="D9" s="258"/>
      <c r="E9" s="258"/>
      <c r="F9" s="258"/>
      <c r="G9" s="259"/>
      <c r="H9" s="260" t="s">
        <v>174</v>
      </c>
      <c r="I9" s="261"/>
      <c r="J9" s="260" t="s">
        <v>174</v>
      </c>
      <c r="K9" s="244"/>
      <c r="L9" s="244"/>
      <c r="M9" s="244"/>
      <c r="N9" s="244"/>
      <c r="AY9" s="1"/>
      <c r="AZ9" s="1"/>
      <c r="BA9" s="30"/>
      <c r="BB9" s="30"/>
      <c r="BC9" s="30"/>
    </row>
    <row r="10" spans="1:55" ht="13.8" thickBot="1">
      <c r="A10" s="258" t="s">
        <v>5</v>
      </c>
      <c r="B10" s="258"/>
      <c r="C10" s="258"/>
      <c r="D10" s="258"/>
      <c r="E10" s="258"/>
      <c r="F10" s="258"/>
      <c r="G10" s="259"/>
      <c r="H10" s="263" t="s">
        <v>15</v>
      </c>
      <c r="I10" s="259"/>
      <c r="J10" s="264">
        <v>0.1</v>
      </c>
      <c r="K10" s="265"/>
      <c r="L10" s="265"/>
      <c r="M10" s="265"/>
      <c r="N10" s="265"/>
      <c r="R10" s="102" t="s">
        <v>357</v>
      </c>
      <c r="AY10" s="9"/>
      <c r="AZ10" s="1"/>
      <c r="BA10" s="30"/>
      <c r="BB10" s="30"/>
      <c r="BC10" s="30"/>
    </row>
    <row r="11" spans="1:55" ht="16.2" thickBot="1">
      <c r="A11" s="272" t="s">
        <v>6</v>
      </c>
      <c r="B11" s="272"/>
      <c r="C11" s="272"/>
      <c r="D11" s="149" t="s">
        <v>528</v>
      </c>
      <c r="E11" s="107" t="s">
        <v>407</v>
      </c>
      <c r="F11" s="108">
        <v>33200</v>
      </c>
      <c r="G11" s="109" t="s">
        <v>529</v>
      </c>
      <c r="H11" s="263" t="s">
        <v>15</v>
      </c>
      <c r="I11" s="259"/>
      <c r="J11" s="268">
        <v>8000</v>
      </c>
      <c r="K11" s="269"/>
      <c r="L11" s="269"/>
      <c r="M11" s="269"/>
      <c r="N11" s="269"/>
      <c r="O11" s="110" t="str">
        <f>IF(J11&gt;F11,"AADT out of range","AADT OK")</f>
        <v>AADT OK</v>
      </c>
      <c r="AY11" s="1"/>
      <c r="AZ11" s="1"/>
      <c r="BA11" s="30"/>
      <c r="BB11" s="30"/>
      <c r="BC11" s="30"/>
    </row>
    <row r="12" spans="1:55" ht="13.8" thickBot="1">
      <c r="A12" s="223" t="s">
        <v>501</v>
      </c>
      <c r="B12" s="224"/>
      <c r="C12" s="224"/>
      <c r="D12" s="224"/>
      <c r="E12" s="224"/>
      <c r="F12" s="224"/>
      <c r="G12" s="225"/>
      <c r="H12" s="263" t="s">
        <v>15</v>
      </c>
      <c r="I12" s="259"/>
      <c r="J12" s="226" t="s">
        <v>449</v>
      </c>
      <c r="K12" s="227"/>
      <c r="L12" s="227"/>
      <c r="M12" s="227"/>
      <c r="N12" s="227"/>
      <c r="O12" s="110"/>
      <c r="AY12" s="1"/>
      <c r="AZ12" s="1"/>
      <c r="BA12" s="30"/>
      <c r="BB12" s="30"/>
      <c r="BC12" s="30"/>
    </row>
    <row r="13" spans="1:55" ht="14.4" customHeight="1">
      <c r="A13" s="257" t="s">
        <v>7</v>
      </c>
      <c r="B13" s="257"/>
      <c r="C13" s="257"/>
      <c r="D13" s="257"/>
      <c r="E13" s="257"/>
      <c r="F13" s="257"/>
      <c r="G13" s="332"/>
      <c r="H13" s="271">
        <v>12</v>
      </c>
      <c r="I13" s="259"/>
      <c r="J13" s="226">
        <v>11</v>
      </c>
      <c r="K13" s="227"/>
      <c r="L13" s="227"/>
      <c r="M13" s="227"/>
      <c r="N13" s="227"/>
      <c r="R13" s="388" t="s">
        <v>375</v>
      </c>
      <c r="S13" s="388"/>
      <c r="T13" s="388"/>
      <c r="U13" s="388"/>
      <c r="V13" s="388"/>
      <c r="AY13" s="9"/>
      <c r="AZ13" s="1"/>
      <c r="BA13" s="30"/>
      <c r="BB13" s="30"/>
      <c r="BC13" s="30"/>
    </row>
    <row r="14" spans="1:55" ht="14.4" customHeight="1" thickBot="1">
      <c r="A14" s="257" t="s">
        <v>521</v>
      </c>
      <c r="B14" s="257"/>
      <c r="C14" s="257"/>
      <c r="D14" s="257"/>
      <c r="E14" s="257"/>
      <c r="F14" s="257"/>
      <c r="G14" s="332"/>
      <c r="H14" s="270">
        <v>6</v>
      </c>
      <c r="I14" s="259"/>
      <c r="J14" s="226">
        <v>2</v>
      </c>
      <c r="K14" s="227"/>
      <c r="L14" s="227"/>
      <c r="M14" s="227"/>
      <c r="N14" s="227"/>
      <c r="R14" s="389"/>
      <c r="S14" s="389"/>
      <c r="T14" s="389"/>
      <c r="U14" s="389"/>
      <c r="V14" s="389"/>
      <c r="AY14" s="79"/>
      <c r="AZ14" s="18"/>
      <c r="BA14" s="18"/>
      <c r="BB14" s="18"/>
      <c r="BC14" s="18"/>
    </row>
    <row r="15" spans="1:55">
      <c r="A15" s="257" t="s">
        <v>522</v>
      </c>
      <c r="B15" s="258"/>
      <c r="C15" s="258"/>
      <c r="D15" s="258"/>
      <c r="E15" s="258"/>
      <c r="F15" s="258"/>
      <c r="G15" s="259"/>
      <c r="H15" s="273" t="s">
        <v>65</v>
      </c>
      <c r="I15" s="259"/>
      <c r="J15" s="226" t="s">
        <v>65</v>
      </c>
      <c r="K15" s="227"/>
      <c r="L15" s="227"/>
      <c r="M15" s="227"/>
      <c r="N15" s="227"/>
      <c r="R15" s="406" t="s">
        <v>51</v>
      </c>
      <c r="S15" s="407"/>
      <c r="T15" s="393" t="s">
        <v>6</v>
      </c>
      <c r="U15" s="410"/>
      <c r="V15" s="410"/>
      <c r="AY15" s="18"/>
      <c r="AZ15" s="18"/>
      <c r="BA15" s="18"/>
      <c r="BB15" s="18"/>
      <c r="BC15" s="18"/>
    </row>
    <row r="16" spans="1:55">
      <c r="A16" s="257" t="s">
        <v>526</v>
      </c>
      <c r="B16" s="258"/>
      <c r="C16" s="258"/>
      <c r="D16" s="258"/>
      <c r="E16" s="258"/>
      <c r="F16" s="258"/>
      <c r="G16" s="259"/>
      <c r="H16" s="273" t="s">
        <v>110</v>
      </c>
      <c r="I16" s="259"/>
      <c r="J16" s="226" t="s">
        <v>190</v>
      </c>
      <c r="K16" s="227"/>
      <c r="L16" s="227"/>
      <c r="M16" s="227"/>
      <c r="N16" s="227"/>
      <c r="R16" s="408"/>
      <c r="S16" s="409"/>
      <c r="T16" s="21" t="s">
        <v>57</v>
      </c>
      <c r="U16" s="21" t="s">
        <v>58</v>
      </c>
      <c r="V16" s="11" t="s">
        <v>59</v>
      </c>
    </row>
    <row r="17" spans="1:22">
      <c r="A17" s="257" t="s">
        <v>109</v>
      </c>
      <c r="B17" s="258"/>
      <c r="C17" s="258"/>
      <c r="D17" s="258"/>
      <c r="E17" s="258"/>
      <c r="F17" s="258"/>
      <c r="G17" s="259"/>
      <c r="H17" s="270" t="s">
        <v>70</v>
      </c>
      <c r="I17" s="259"/>
      <c r="J17" s="226" t="s">
        <v>71</v>
      </c>
      <c r="K17" s="227"/>
      <c r="L17" s="227"/>
      <c r="M17" s="227"/>
      <c r="N17" s="227"/>
      <c r="R17" s="228">
        <v>9</v>
      </c>
      <c r="S17" s="357"/>
      <c r="T17" s="12">
        <v>1.04</v>
      </c>
      <c r="U17" s="12">
        <f>1.04+0.000213*($J$11-400)</f>
        <v>2.6588000000000003</v>
      </c>
      <c r="V17" s="13">
        <v>1.38</v>
      </c>
    </row>
    <row r="18" spans="1:22">
      <c r="A18" s="257" t="s">
        <v>527</v>
      </c>
      <c r="B18" s="258"/>
      <c r="C18" s="258"/>
      <c r="D18" s="258"/>
      <c r="E18" s="258"/>
      <c r="F18" s="258"/>
      <c r="G18" s="259"/>
      <c r="H18" s="270" t="s">
        <v>70</v>
      </c>
      <c r="I18" s="259"/>
      <c r="J18" s="226" t="s">
        <v>71</v>
      </c>
      <c r="K18" s="227"/>
      <c r="L18" s="227"/>
      <c r="M18" s="227"/>
      <c r="N18" s="227"/>
      <c r="R18" s="357">
        <v>9.5</v>
      </c>
      <c r="S18" s="297"/>
      <c r="T18" s="12">
        <f>+(T17+T19)/2</f>
        <v>1.03</v>
      </c>
      <c r="U18" s="12">
        <f>+(U17+U19)/2</f>
        <v>2.3372000000000002</v>
      </c>
      <c r="V18" s="13">
        <f>+(V17+V19)/2</f>
        <v>1.3049999999999999</v>
      </c>
    </row>
    <row r="19" spans="1:22" ht="16.2" thickBot="1">
      <c r="A19" s="275" t="s">
        <v>512</v>
      </c>
      <c r="B19" s="276"/>
      <c r="C19" s="276"/>
      <c r="D19" s="276"/>
      <c r="E19" s="276"/>
      <c r="F19" s="276"/>
      <c r="G19" s="277"/>
      <c r="H19" s="278">
        <v>1</v>
      </c>
      <c r="I19" s="279"/>
      <c r="J19" s="280">
        <v>1</v>
      </c>
      <c r="K19" s="281"/>
      <c r="L19" s="281"/>
      <c r="M19" s="281"/>
      <c r="N19" s="281"/>
      <c r="R19" s="228">
        <v>10</v>
      </c>
      <c r="S19" s="357"/>
      <c r="T19" s="12">
        <v>1.02</v>
      </c>
      <c r="U19" s="12">
        <f>1.02+0.000131*($J$11-400)</f>
        <v>2.0156000000000001</v>
      </c>
      <c r="V19" s="13">
        <v>1.23</v>
      </c>
    </row>
    <row r="20" spans="1:22" ht="13.8" thickTop="1">
      <c r="J20" s="52"/>
      <c r="K20" s="32"/>
      <c r="L20" s="32"/>
      <c r="M20" s="32"/>
      <c r="N20" s="32"/>
      <c r="R20" s="405">
        <v>10.5</v>
      </c>
      <c r="S20" s="405"/>
      <c r="T20" s="12">
        <f>+(T19+T21)/2</f>
        <v>1.0150000000000001</v>
      </c>
      <c r="U20" s="12">
        <f>+(U19+U21)/2</f>
        <v>1.5842400000000001</v>
      </c>
      <c r="V20" s="13">
        <f>+(V19+V21)/2</f>
        <v>1.135</v>
      </c>
    </row>
    <row r="21" spans="1:22" ht="13.8" thickBot="1">
      <c r="J21" s="1"/>
      <c r="R21" s="228">
        <v>11</v>
      </c>
      <c r="S21" s="357"/>
      <c r="T21" s="12">
        <v>1.01</v>
      </c>
      <c r="U21" s="12">
        <f>1.01+0.0000188*($J$11-400)</f>
        <v>1.1528800000000001</v>
      </c>
      <c r="V21" s="13">
        <v>1.04</v>
      </c>
    </row>
    <row r="22" spans="1:22" ht="14.4" thickTop="1" thickBot="1">
      <c r="A22" s="233" t="s">
        <v>123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R22" s="387">
        <v>11.5</v>
      </c>
      <c r="S22" s="387"/>
      <c r="T22" s="12">
        <f>+(T21+T23)/2</f>
        <v>1.0049999999999999</v>
      </c>
      <c r="U22" s="12">
        <f>+(U21+U23)/2</f>
        <v>1.0764400000000001</v>
      </c>
      <c r="V22" s="13">
        <f>+(V21+V23)/2</f>
        <v>1.02</v>
      </c>
    </row>
    <row r="23" spans="1:22" ht="13.8" thickBot="1">
      <c r="A23" s="282" t="s">
        <v>17</v>
      </c>
      <c r="B23" s="283"/>
      <c r="C23" s="284" t="s">
        <v>18</v>
      </c>
      <c r="D23" s="284"/>
      <c r="E23" s="283"/>
      <c r="F23" s="284" t="s">
        <v>19</v>
      </c>
      <c r="G23" s="283"/>
      <c r="H23" s="284" t="s">
        <v>20</v>
      </c>
      <c r="I23" s="283"/>
      <c r="J23" s="284" t="s">
        <v>21</v>
      </c>
      <c r="K23" s="283"/>
      <c r="L23" s="283"/>
      <c r="M23" s="284" t="s">
        <v>22</v>
      </c>
      <c r="N23" s="295"/>
      <c r="R23" s="394">
        <v>12</v>
      </c>
      <c r="S23" s="397"/>
      <c r="T23" s="14">
        <v>1</v>
      </c>
      <c r="U23" s="14">
        <v>1</v>
      </c>
      <c r="V23" s="15">
        <v>1</v>
      </c>
    </row>
    <row r="24" spans="1:22">
      <c r="A24" s="285" t="s">
        <v>30</v>
      </c>
      <c r="B24" s="286"/>
      <c r="C24" s="289" t="s">
        <v>126</v>
      </c>
      <c r="D24" s="289"/>
      <c r="E24" s="286"/>
      <c r="F24" s="289" t="s">
        <v>129</v>
      </c>
      <c r="G24" s="286"/>
      <c r="H24" s="290" t="s">
        <v>31</v>
      </c>
      <c r="I24" s="286"/>
      <c r="J24" s="290" t="s">
        <v>32</v>
      </c>
      <c r="K24" s="286"/>
      <c r="L24" s="286"/>
      <c r="M24" s="289" t="s">
        <v>104</v>
      </c>
      <c r="N24" s="291"/>
      <c r="R24" s="398" t="s">
        <v>335</v>
      </c>
      <c r="S24" s="399"/>
      <c r="T24" s="399"/>
      <c r="U24" s="399"/>
      <c r="V24" s="399"/>
    </row>
    <row r="25" spans="1:22">
      <c r="A25" s="287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92"/>
      <c r="R25" s="400"/>
      <c r="S25" s="400"/>
      <c r="T25" s="400"/>
      <c r="U25" s="400"/>
      <c r="V25" s="400"/>
    </row>
    <row r="26" spans="1:22">
      <c r="A26" s="300" t="s">
        <v>124</v>
      </c>
      <c r="B26" s="298"/>
      <c r="C26" s="293" t="s">
        <v>127</v>
      </c>
      <c r="D26" s="293"/>
      <c r="E26" s="298"/>
      <c r="F26" s="293" t="s">
        <v>130</v>
      </c>
      <c r="G26" s="298"/>
      <c r="H26" s="293" t="s">
        <v>131</v>
      </c>
      <c r="I26" s="298"/>
      <c r="J26" s="293" t="s">
        <v>134</v>
      </c>
      <c r="K26" s="298"/>
      <c r="L26" s="298"/>
      <c r="M26" s="293" t="s">
        <v>33</v>
      </c>
      <c r="N26" s="294"/>
    </row>
    <row r="27" spans="1:22">
      <c r="A27" s="306" t="s">
        <v>125</v>
      </c>
      <c r="B27" s="297"/>
      <c r="C27" s="296" t="s">
        <v>128</v>
      </c>
      <c r="D27" s="296"/>
      <c r="E27" s="297"/>
      <c r="F27" s="296" t="s">
        <v>379</v>
      </c>
      <c r="G27" s="298"/>
      <c r="H27" s="296" t="s">
        <v>132</v>
      </c>
      <c r="I27" s="297"/>
      <c r="J27" s="296" t="s">
        <v>133</v>
      </c>
      <c r="K27" s="298"/>
      <c r="L27" s="298"/>
      <c r="M27" s="299" t="s">
        <v>122</v>
      </c>
      <c r="N27" s="294"/>
    </row>
    <row r="28" spans="1:22">
      <c r="A28" s="301">
        <f>(VLOOKUP($J$13,'Rural Undivided Multilane Seg'!$R$17:$V$23,IF($J$11&gt;2000,5,IF($J$11&lt;400,3,4)))-1)*(IF('Segment Tables'!D7="No",'Segment Tables'!E15,'Segment Tables'!I15))+1</f>
        <v>1.0107999999999999</v>
      </c>
      <c r="B28" s="302"/>
      <c r="C28" s="303">
        <f>(+$V$4*$V$6-1)*(IF('Segment Tables'!D7="No",'Segment Tables'!E15,'Segment Tables'!I15))+1</f>
        <v>1.081</v>
      </c>
      <c r="D28" s="304"/>
      <c r="E28" s="302"/>
      <c r="F28" s="303">
        <f>HLOOKUP(J16,'Segment Tables'!O22:T23,2,FALSE)</f>
        <v>1.05</v>
      </c>
      <c r="G28" s="305"/>
      <c r="H28" s="303">
        <f>IF($J$17="Present",(1-(IF('Segment Tables'!$D$41="No",((1-(0.72*'Segment Tables'!$E$45)-(0.83*'Segment Tables'!$F$45))*'Segment Tables'!$G$45),((1-(0.72*'Segment Tables'!$I$45)-(0.83*'Segment Tables'!$J$45))*'Segment Tables'!$K$45)))),1)</f>
        <v>0.94652395</v>
      </c>
      <c r="I28" s="305"/>
      <c r="J28" s="303">
        <f>IF($J$18="Present",0.95,1)</f>
        <v>0.95</v>
      </c>
      <c r="K28" s="301"/>
      <c r="L28" s="305"/>
      <c r="M28" s="308">
        <f>$A$28*$C$28*$F$28*$H$28*$J$28</f>
        <v>1.0316572605920564</v>
      </c>
      <c r="N28" s="309"/>
    </row>
    <row r="29" spans="1:22" ht="13.8" thickBot="1"/>
    <row r="30" spans="1:22">
      <c r="F30" s="30"/>
      <c r="G30" s="30"/>
      <c r="R30" s="388" t="s">
        <v>376</v>
      </c>
      <c r="S30" s="388"/>
      <c r="T30" s="388"/>
      <c r="U30" s="388"/>
      <c r="V30" s="388"/>
    </row>
    <row r="31" spans="1:22" ht="13.8" thickBot="1">
      <c r="R31" s="389"/>
      <c r="S31" s="389"/>
      <c r="T31" s="389"/>
      <c r="U31" s="389"/>
      <c r="V31" s="389"/>
    </row>
    <row r="32" spans="1:22" ht="14.4" thickTop="1" thickBot="1">
      <c r="A32" s="233" t="s">
        <v>146</v>
      </c>
      <c r="B32" s="234"/>
      <c r="C32" s="234"/>
      <c r="D32" s="234"/>
      <c r="E32" s="234"/>
      <c r="F32" s="234"/>
      <c r="G32" s="234"/>
      <c r="H32" s="234"/>
      <c r="I32" s="234"/>
      <c r="J32" s="235"/>
      <c r="K32" s="235"/>
      <c r="L32" s="235"/>
      <c r="M32" s="235"/>
      <c r="N32" s="235"/>
      <c r="R32" s="401" t="s">
        <v>52</v>
      </c>
      <c r="S32" s="402"/>
      <c r="T32" s="391" t="s">
        <v>6</v>
      </c>
      <c r="U32" s="391"/>
      <c r="V32" s="393"/>
    </row>
    <row r="33" spans="1:42">
      <c r="A33" s="282" t="s">
        <v>17</v>
      </c>
      <c r="B33" s="283"/>
      <c r="C33" s="307" t="s">
        <v>18</v>
      </c>
      <c r="D33" s="307"/>
      <c r="E33" s="283"/>
      <c r="F33" s="284" t="s">
        <v>19</v>
      </c>
      <c r="G33" s="283"/>
      <c r="H33" s="284" t="s">
        <v>20</v>
      </c>
      <c r="I33" s="283"/>
      <c r="J33" s="284" t="s">
        <v>21</v>
      </c>
      <c r="K33" s="283"/>
      <c r="L33" s="2" t="s">
        <v>22</v>
      </c>
      <c r="M33" s="284" t="s">
        <v>23</v>
      </c>
      <c r="N33" s="295"/>
      <c r="R33" s="403"/>
      <c r="S33" s="404"/>
      <c r="T33" s="21" t="s">
        <v>57</v>
      </c>
      <c r="U33" s="21" t="s">
        <v>58</v>
      </c>
      <c r="V33" s="11" t="s">
        <v>59</v>
      </c>
    </row>
    <row r="34" spans="1:42" ht="15.6" customHeight="1">
      <c r="A34" s="231" t="s">
        <v>34</v>
      </c>
      <c r="B34" s="298"/>
      <c r="C34" s="310" t="s">
        <v>136</v>
      </c>
      <c r="D34" s="311"/>
      <c r="E34" s="311"/>
      <c r="F34" s="312" t="s">
        <v>370</v>
      </c>
      <c r="G34" s="313"/>
      <c r="H34" s="230" t="s">
        <v>434</v>
      </c>
      <c r="I34" s="231"/>
      <c r="J34" s="312" t="s">
        <v>36</v>
      </c>
      <c r="K34" s="315"/>
      <c r="L34" s="316" t="s">
        <v>511</v>
      </c>
      <c r="M34" s="312" t="s">
        <v>348</v>
      </c>
      <c r="N34" s="318"/>
      <c r="R34" s="228">
        <v>0</v>
      </c>
      <c r="S34" s="357"/>
      <c r="T34" s="12">
        <v>1.1000000000000001</v>
      </c>
      <c r="U34" s="12">
        <f>+($J$11-400)*0.00025+1.1</f>
        <v>3</v>
      </c>
      <c r="V34" s="13">
        <v>1.5</v>
      </c>
    </row>
    <row r="35" spans="1:42" ht="15.6" customHeight="1">
      <c r="A35" s="259"/>
      <c r="B35" s="298"/>
      <c r="C35" s="313" t="s">
        <v>388</v>
      </c>
      <c r="D35" s="313"/>
      <c r="E35" s="313"/>
      <c r="F35" s="314"/>
      <c r="G35" s="314"/>
      <c r="H35" s="232" t="s">
        <v>148</v>
      </c>
      <c r="I35" s="232"/>
      <c r="J35" s="320" t="s">
        <v>149</v>
      </c>
      <c r="K35" s="315"/>
      <c r="L35" s="317"/>
      <c r="M35" s="319"/>
      <c r="N35" s="318"/>
      <c r="R35" s="357">
        <v>1</v>
      </c>
      <c r="S35" s="297"/>
      <c r="T35" s="12">
        <f>+(T34+T36)/2</f>
        <v>1.085</v>
      </c>
      <c r="U35" s="12">
        <f>+(U34+U36)/2</f>
        <v>2.5784000000000002</v>
      </c>
      <c r="V35" s="13">
        <f>+(V34+V36)/2</f>
        <v>1.4</v>
      </c>
    </row>
    <row r="36" spans="1:42" ht="15.6" customHeight="1">
      <c r="A36" s="259"/>
      <c r="B36" s="298"/>
      <c r="C36" s="56" t="s">
        <v>137</v>
      </c>
      <c r="D36" s="56" t="s">
        <v>138</v>
      </c>
      <c r="E36" s="56" t="s">
        <v>139</v>
      </c>
      <c r="F36" s="232" t="s">
        <v>147</v>
      </c>
      <c r="G36" s="232"/>
      <c r="H36" s="232" t="s">
        <v>459</v>
      </c>
      <c r="I36" s="232"/>
      <c r="J36" s="315"/>
      <c r="K36" s="315"/>
      <c r="L36" s="317"/>
      <c r="M36" s="321" t="s">
        <v>142</v>
      </c>
      <c r="N36" s="271"/>
      <c r="Q36" s="61"/>
      <c r="R36" s="229">
        <v>2</v>
      </c>
      <c r="S36" s="297"/>
      <c r="T36" s="12">
        <v>1.07</v>
      </c>
      <c r="U36" s="12">
        <f>+($J$11-400)*0.000143+1.07</f>
        <v>2.1568000000000001</v>
      </c>
      <c r="V36" s="13">
        <v>1.3</v>
      </c>
      <c r="W36" s="10"/>
      <c r="X36" s="10"/>
      <c r="Y36" s="10"/>
      <c r="Z36" s="10"/>
      <c r="AA36" s="10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>
      <c r="A37" s="259" t="s">
        <v>37</v>
      </c>
      <c r="B37" s="298"/>
      <c r="C37" s="3">
        <f>VLOOKUP(IF('Segment Tables'!$D$62="No",$A37,"Local"),'Segment Tables'!$B$63:$F$67,MATCH(C$36,'Segment Tables'!$B$63:$F$63,0),FALSE)</f>
        <v>-10.02</v>
      </c>
      <c r="D37" s="3">
        <f>VLOOKUP(IF('Segment Tables'!$D$62="No",$A37,"Local"),'Segment Tables'!$B$63:$F$67,MATCH(D$36,'Segment Tables'!$B$63:$F$63,0),FALSE)</f>
        <v>1.1759999999999999</v>
      </c>
      <c r="E37" s="3" t="str">
        <f>VLOOKUP(IF('Segment Tables'!$D$62="No",$A37,"Local"),'Segment Tables'!$B$63:$F$67,MATCH(E$36,'Segment Tables'!$B$63:$F$63,0),FALSE)</f>
        <v>--</v>
      </c>
      <c r="F37" s="322">
        <f>EXP($C$37+$D$37*LN($J$11)+LN($J$10))</f>
        <v>0.17314227356802653</v>
      </c>
      <c r="G37" s="323"/>
      <c r="H37" s="322">
        <f>IF('Segment Tables'!$D$62="No",1/(EXP($E$37+LN($J$10))),VLOOKUP("Local",'Segment Tables'!$B$63:$F$67,MATCH(H$36,'Segment Tables'!$B$63:$F$63,0),FALSE))</f>
        <v>0.65900000000000003</v>
      </c>
      <c r="I37" s="323"/>
      <c r="J37" s="324">
        <f>+$M$28</f>
        <v>1.0316572605920564</v>
      </c>
      <c r="K37" s="325"/>
      <c r="L37" s="12">
        <f>$J$19*VLOOKUP(VLOOKUP($J$12,'Segment Tables'!$K$72:$L$98,MATCH("Region",'Segment Tables'!$K$72:$L$72,0),FALSE),'Segment Tables'!$B$85:$D$90,MATCH("Divided",'Segment Tables'!$B$85:$D$85,0),FALSE)</f>
        <v>1</v>
      </c>
      <c r="M37" s="326">
        <f>+F37*J37*L37</f>
        <v>0.17862348364187067</v>
      </c>
      <c r="N37" s="327"/>
      <c r="R37" s="357">
        <v>3</v>
      </c>
      <c r="S37" s="297"/>
      <c r="T37" s="12">
        <f>+(T36+T38)/2</f>
        <v>1.0449999999999999</v>
      </c>
      <c r="U37" s="12">
        <f>+(U36+U38)/2</f>
        <v>1.8971499999999999</v>
      </c>
      <c r="V37" s="13">
        <f>+(V36+V38)/2</f>
        <v>1.2250000000000001</v>
      </c>
      <c r="AD37" s="37"/>
      <c r="AE37" s="4"/>
      <c r="AF37" s="1"/>
      <c r="AG37" s="1"/>
      <c r="AH37" s="1"/>
      <c r="AI37" s="1"/>
      <c r="AJ37" s="1"/>
      <c r="AK37" s="4"/>
      <c r="AL37" s="1"/>
      <c r="AM37" s="1"/>
      <c r="AN37" s="1"/>
      <c r="AO37" s="1"/>
      <c r="AP37" s="1"/>
    </row>
    <row r="38" spans="1:42">
      <c r="A38" s="259" t="s">
        <v>38</v>
      </c>
      <c r="B38" s="298"/>
      <c r="C38" s="3" t="str">
        <f>IF('Segment Tables'!$D$62="No",VLOOKUP($A38,'Segment Tables'!$B$63:$F$67,MATCH(C$36,'Segment Tables'!$B$63:$F$63,0),FALSE),"--")</f>
        <v>--</v>
      </c>
      <c r="D38" s="3" t="str">
        <f>IF('Segment Tables'!$D$62="No",VLOOKUP($A38,'Segment Tables'!$B$63:$F$67,MATCH(D$36,'Segment Tables'!$B$63:$F$63,0),FALSE),"--")</f>
        <v>--</v>
      </c>
      <c r="E38" s="3" t="str">
        <f>IF('Segment Tables'!$D$62="No",VLOOKUP($A38,'Segment Tables'!$B$63:$F$67,MATCH(E$36,'Segment Tables'!$B$63:$F$63,0),FALSE),"--")</f>
        <v>--</v>
      </c>
      <c r="F38" s="322">
        <f>IF('Segment Tables'!D62="No",EXP($C$38+$D$38*LN($J$11)+LN($J$10)),F37*'Segment Tables'!E78/100)</f>
        <v>5.1942682070407961E-2</v>
      </c>
      <c r="G38" s="323"/>
      <c r="H38" s="322">
        <f>IF('Segment Tables'!D62="No",1/(EXP($E$38+LN($J$10))),H$37)</f>
        <v>0.65900000000000003</v>
      </c>
      <c r="I38" s="323"/>
      <c r="J38" s="324">
        <f>+$M$28</f>
        <v>1.0316572605920564</v>
      </c>
      <c r="K38" s="325"/>
      <c r="L38" s="12">
        <f>$J$19*VLOOKUP(VLOOKUP($J$12,'Segment Tables'!$K$72:$L$98,MATCH("Region",'Segment Tables'!$K$72:$L$72,0),FALSE),'Segment Tables'!$B$85:$D$90,MATCH("Divided",'Segment Tables'!$B$85:$D$85,0),FALSE)</f>
        <v>1</v>
      </c>
      <c r="M38" s="326">
        <f>+F38*J38*L38</f>
        <v>5.3587045092561202E-2</v>
      </c>
      <c r="N38" s="327"/>
      <c r="R38" s="229">
        <v>4</v>
      </c>
      <c r="S38" s="297"/>
      <c r="T38" s="12">
        <v>1.02</v>
      </c>
      <c r="U38" s="12">
        <f>+($J$11-400)*0.00008125+1.02</f>
        <v>1.6375</v>
      </c>
      <c r="V38" s="13">
        <v>1.1499999999999999</v>
      </c>
      <c r="AE38" s="4"/>
      <c r="AF38" s="4"/>
      <c r="AG38" s="4"/>
      <c r="AH38" s="4"/>
      <c r="AI38" s="4"/>
      <c r="AK38" s="4"/>
      <c r="AL38" s="4"/>
      <c r="AM38" s="4"/>
      <c r="AN38" s="4"/>
      <c r="AO38" s="4"/>
    </row>
    <row r="39" spans="1:42" ht="15.6">
      <c r="A39" s="332" t="s">
        <v>143</v>
      </c>
      <c r="B39" s="298"/>
      <c r="C39" s="3" t="str">
        <f>IF('Segment Tables'!$D$62="No",VLOOKUP($A39,'Segment Tables'!$B$63:$F$67,MATCH(C$36,'Segment Tables'!$B$63:$F$63,0),FALSE),"--")</f>
        <v>--</v>
      </c>
      <c r="D39" s="3" t="str">
        <f>IF('Segment Tables'!$D$62="No",VLOOKUP($A39,'Segment Tables'!$B$63:$F$67,MATCH(D$36,'Segment Tables'!$B$63:$F$63,0),FALSE),"--")</f>
        <v>--</v>
      </c>
      <c r="E39" s="3" t="str">
        <f>IF('Segment Tables'!$D$62="No",VLOOKUP($A39,'Segment Tables'!$B$63:$F$67,MATCH(E$36,'Segment Tables'!$B$63:$F$63,0),FALSE),"--")</f>
        <v>--</v>
      </c>
      <c r="F39" s="322">
        <f>IF('Segment Tables'!D62="No",EXP($C$39+$D$39*LN($J$11)+LN($J$10)),F37*SUM('Segment Tables'!E74:E76)/100)</f>
        <v>3.5840450628581488E-2</v>
      </c>
      <c r="G39" s="323"/>
      <c r="H39" s="322">
        <f>IF('Segment Tables'!D62="No",1/(EXP($E$39+LN($J$10))),H37)</f>
        <v>0.65900000000000003</v>
      </c>
      <c r="I39" s="323"/>
      <c r="J39" s="324">
        <f>+$M$28</f>
        <v>1.0316572605920564</v>
      </c>
      <c r="K39" s="325"/>
      <c r="L39" s="12">
        <f>$J$19*VLOOKUP(VLOOKUP($J$12,'Segment Tables'!$K$72:$L$98,MATCH("Region",'Segment Tables'!$K$72:$L$72,0),FALSE),'Segment Tables'!$B$85:$D$90,MATCH("Divided",'Segment Tables'!$B$85:$D$85,0),FALSE)</f>
        <v>1</v>
      </c>
      <c r="M39" s="326">
        <f>+F39*J39*L39</f>
        <v>3.6975061113867225E-2</v>
      </c>
      <c r="N39" s="327"/>
      <c r="R39" s="357">
        <v>5</v>
      </c>
      <c r="S39" s="297"/>
      <c r="T39" s="12">
        <f>+(T38+T40)/2</f>
        <v>1.01</v>
      </c>
      <c r="U39" s="12">
        <f>+(U38+U40)/2</f>
        <v>1.3187500000000001</v>
      </c>
      <c r="V39" s="13">
        <f>+(V38+V40)/2</f>
        <v>1.075</v>
      </c>
      <c r="AE39" s="4"/>
      <c r="AF39" s="4"/>
      <c r="AG39" s="4"/>
      <c r="AH39" s="4"/>
      <c r="AI39" s="4"/>
      <c r="AK39" s="4"/>
      <c r="AL39" s="4"/>
      <c r="AM39" s="4"/>
      <c r="AN39" s="4"/>
      <c r="AO39" s="4"/>
    </row>
    <row r="40" spans="1:42" ht="15.6">
      <c r="A40" s="352" t="s">
        <v>39</v>
      </c>
      <c r="B40" s="353"/>
      <c r="C40" s="350" t="s">
        <v>15</v>
      </c>
      <c r="D40" s="350" t="s">
        <v>15</v>
      </c>
      <c r="E40" s="350" t="s">
        <v>15</v>
      </c>
      <c r="F40" s="328" t="s">
        <v>15</v>
      </c>
      <c r="G40" s="329"/>
      <c r="H40" s="328" t="s">
        <v>15</v>
      </c>
      <c r="I40" s="329"/>
      <c r="J40" s="346" t="s">
        <v>15</v>
      </c>
      <c r="K40" s="347"/>
      <c r="L40" s="350" t="s">
        <v>15</v>
      </c>
      <c r="M40" s="321" t="s">
        <v>144</v>
      </c>
      <c r="N40" s="271"/>
      <c r="R40" s="229">
        <v>6</v>
      </c>
      <c r="S40" s="297"/>
      <c r="T40" s="12">
        <v>1</v>
      </c>
      <c r="U40" s="12">
        <v>1</v>
      </c>
      <c r="V40" s="13">
        <v>1</v>
      </c>
      <c r="AE40" s="4"/>
      <c r="AF40" s="4"/>
      <c r="AG40" s="4"/>
      <c r="AH40" s="4"/>
      <c r="AI40" s="8"/>
      <c r="AK40" s="4"/>
      <c r="AL40" s="4"/>
      <c r="AM40" s="4"/>
      <c r="AN40" s="4"/>
      <c r="AO40" s="8"/>
    </row>
    <row r="41" spans="1:42" ht="13.8" thickBot="1">
      <c r="A41" s="354"/>
      <c r="B41" s="355"/>
      <c r="C41" s="351"/>
      <c r="D41" s="351"/>
      <c r="E41" s="351"/>
      <c r="F41" s="330"/>
      <c r="G41" s="331"/>
      <c r="H41" s="330"/>
      <c r="I41" s="331"/>
      <c r="J41" s="348"/>
      <c r="K41" s="349"/>
      <c r="L41" s="351"/>
      <c r="M41" s="344">
        <f>+M37-M38</f>
        <v>0.12503643854930946</v>
      </c>
      <c r="N41" s="345"/>
      <c r="P41" s="30"/>
      <c r="R41" s="357">
        <v>7</v>
      </c>
      <c r="S41" s="297"/>
      <c r="T41" s="12">
        <f>+(T40+T42)/2</f>
        <v>0.99</v>
      </c>
      <c r="U41" s="12">
        <f>+(U40+U42)/2</f>
        <v>0.72875000000000001</v>
      </c>
      <c r="V41" s="13">
        <f>+(V40+V42)/2</f>
        <v>0.93500000000000005</v>
      </c>
      <c r="AD41" s="9"/>
      <c r="AE41" s="1"/>
      <c r="AF41" s="1"/>
      <c r="AG41" s="1"/>
      <c r="AH41" s="9"/>
      <c r="AI41" s="6"/>
      <c r="AK41" s="1"/>
      <c r="AL41" s="1"/>
      <c r="AM41" s="1"/>
      <c r="AN41" s="9"/>
      <c r="AO41" s="6"/>
    </row>
    <row r="42" spans="1:42" ht="13.8" thickBot="1">
      <c r="A42" s="333" t="s">
        <v>145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R42" s="394">
        <v>8</v>
      </c>
      <c r="S42" s="397"/>
      <c r="T42" s="14">
        <v>0.98</v>
      </c>
      <c r="U42" s="14">
        <f>+(($J$11-400)*-0.00006875)+0.98</f>
        <v>0.45749999999999991</v>
      </c>
      <c r="V42" s="15">
        <v>0.87</v>
      </c>
    </row>
    <row r="43" spans="1:42">
      <c r="R43" s="411" t="s">
        <v>79</v>
      </c>
      <c r="S43" s="400"/>
      <c r="T43" s="400"/>
      <c r="U43" s="400"/>
      <c r="V43" s="400"/>
    </row>
    <row r="44" spans="1:42">
      <c r="R44" s="400"/>
      <c r="S44" s="400"/>
      <c r="T44" s="400"/>
      <c r="U44" s="400"/>
      <c r="V44" s="400"/>
    </row>
    <row r="45" spans="1:42" ht="13.8" thickBo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6"/>
      <c r="R45" s="400"/>
      <c r="S45" s="400"/>
      <c r="T45" s="400"/>
      <c r="U45" s="400"/>
      <c r="V45" s="400"/>
    </row>
    <row r="46" spans="1:42" ht="14.4" thickTop="1" thickBot="1">
      <c r="A46" s="233" t="s">
        <v>164</v>
      </c>
      <c r="B46" s="234"/>
      <c r="C46" s="234"/>
      <c r="D46" s="234"/>
      <c r="E46" s="234"/>
      <c r="F46" s="234"/>
      <c r="G46" s="234"/>
      <c r="H46" s="234"/>
      <c r="I46" s="335"/>
      <c r="J46" s="335"/>
      <c r="K46" s="335"/>
      <c r="L46" s="335"/>
      <c r="M46" s="335"/>
      <c r="N46" s="335"/>
      <c r="R46" s="412"/>
      <c r="S46" s="412"/>
      <c r="T46" s="412"/>
      <c r="U46" s="412"/>
      <c r="V46" s="412"/>
    </row>
    <row r="47" spans="1:42">
      <c r="A47" s="336" t="s">
        <v>17</v>
      </c>
      <c r="B47" s="337"/>
      <c r="C47" s="5" t="s">
        <v>18</v>
      </c>
      <c r="D47" s="338" t="s">
        <v>19</v>
      </c>
      <c r="E47" s="282"/>
      <c r="F47" s="58" t="s">
        <v>20</v>
      </c>
      <c r="G47" s="339" t="s">
        <v>21</v>
      </c>
      <c r="H47" s="340"/>
      <c r="I47" s="58" t="s">
        <v>22</v>
      </c>
      <c r="J47" s="339" t="s">
        <v>23</v>
      </c>
      <c r="K47" s="341"/>
      <c r="L47" s="58" t="s">
        <v>24</v>
      </c>
      <c r="M47" s="342" t="s">
        <v>25</v>
      </c>
      <c r="N47" s="343"/>
    </row>
    <row r="48" spans="1:42" ht="14.4" customHeight="1">
      <c r="A48" s="231" t="s">
        <v>40</v>
      </c>
      <c r="B48" s="312"/>
      <c r="C48" s="312" t="s">
        <v>42</v>
      </c>
      <c r="D48" s="312" t="s">
        <v>353</v>
      </c>
      <c r="E48" s="298"/>
      <c r="F48" s="312" t="s">
        <v>41</v>
      </c>
      <c r="G48" s="312" t="s">
        <v>354</v>
      </c>
      <c r="H48" s="312"/>
      <c r="I48" s="312" t="s">
        <v>151</v>
      </c>
      <c r="J48" s="312" t="s">
        <v>355</v>
      </c>
      <c r="K48" s="312"/>
      <c r="L48" s="312" t="s">
        <v>152</v>
      </c>
      <c r="M48" s="312" t="s">
        <v>356</v>
      </c>
      <c r="N48" s="230"/>
    </row>
    <row r="49" spans="1:14" ht="14.4" customHeight="1">
      <c r="A49" s="231"/>
      <c r="B49" s="312"/>
      <c r="C49" s="297"/>
      <c r="D49" s="298"/>
      <c r="E49" s="298"/>
      <c r="F49" s="297"/>
      <c r="G49" s="297"/>
      <c r="H49" s="297"/>
      <c r="I49" s="297"/>
      <c r="J49" s="297"/>
      <c r="K49" s="297"/>
      <c r="L49" s="297"/>
      <c r="M49" s="297"/>
      <c r="N49" s="271"/>
    </row>
    <row r="50" spans="1:14" ht="14.4" customHeight="1">
      <c r="A50" s="357"/>
      <c r="B50" s="297"/>
      <c r="C50" s="297"/>
      <c r="D50" s="298"/>
      <c r="E50" s="298"/>
      <c r="F50" s="297"/>
      <c r="G50" s="297"/>
      <c r="H50" s="297"/>
      <c r="I50" s="297"/>
      <c r="J50" s="297"/>
      <c r="K50" s="297"/>
      <c r="L50" s="297"/>
      <c r="M50" s="297"/>
      <c r="N50" s="271"/>
    </row>
    <row r="51" spans="1:14" ht="15" customHeight="1">
      <c r="A51" s="357"/>
      <c r="B51" s="297"/>
      <c r="C51" s="358" t="s">
        <v>391</v>
      </c>
      <c r="D51" s="359" t="s">
        <v>165</v>
      </c>
      <c r="E51" s="360"/>
      <c r="F51" s="358" t="s">
        <v>392</v>
      </c>
      <c r="G51" s="359" t="s">
        <v>166</v>
      </c>
      <c r="H51" s="360"/>
      <c r="I51" s="358" t="s">
        <v>391</v>
      </c>
      <c r="J51" s="359" t="s">
        <v>167</v>
      </c>
      <c r="K51" s="360"/>
      <c r="L51" s="358" t="s">
        <v>391</v>
      </c>
      <c r="M51" s="359" t="s">
        <v>168</v>
      </c>
      <c r="N51" s="361"/>
    </row>
    <row r="52" spans="1:14" ht="15.75" customHeight="1">
      <c r="A52" s="357"/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71"/>
    </row>
    <row r="53" spans="1:14">
      <c r="A53" s="259" t="s">
        <v>37</v>
      </c>
      <c r="B53" s="298"/>
      <c r="C53" s="3">
        <f>IF('Segment Tables'!$D$7="No",SUM('Segment Tables'!$E$9:$E$14),SUM('Segment Tables'!$I$9:$I$14))</f>
        <v>1</v>
      </c>
      <c r="D53" s="322">
        <f>+M37</f>
        <v>0.17862348364187067</v>
      </c>
      <c r="E53" s="323"/>
      <c r="F53" s="3">
        <f>IF('Segment Tables'!$D$7="No",SUM('Segment Tables'!$F$9:$F$14),SUM('Segment Tables'!$J$9:$J$14))</f>
        <v>1</v>
      </c>
      <c r="G53" s="322">
        <f>+M38</f>
        <v>5.3587045092561202E-2</v>
      </c>
      <c r="H53" s="323"/>
      <c r="I53" s="3" t="str">
        <f>IF('Segment Tables'!$D$7="No",SUM('Segment Tables'!$G$9:$G$14),"--")</f>
        <v>--</v>
      </c>
      <c r="J53" s="322" t="str">
        <f>IF('Segment Tables'!D$7="No",+M39,"--")</f>
        <v>--</v>
      </c>
      <c r="K53" s="323"/>
      <c r="L53" s="3">
        <f>IF('Segment Tables'!D$7="No",SUM('Segment Tables'!$H$9:$H$14),SUM('Segment Tables'!$L$9:$L$14))</f>
        <v>1.0009999999999999</v>
      </c>
      <c r="M53" s="322">
        <f>+M41</f>
        <v>0.12503643854930946</v>
      </c>
      <c r="N53" s="356"/>
    </row>
    <row r="54" spans="1:14" ht="16.8">
      <c r="A54" s="362"/>
      <c r="B54" s="363"/>
      <c r="C54" s="12"/>
      <c r="D54" s="321" t="s">
        <v>158</v>
      </c>
      <c r="E54" s="363"/>
      <c r="F54" s="12"/>
      <c r="G54" s="364" t="s">
        <v>159</v>
      </c>
      <c r="H54" s="298"/>
      <c r="I54" s="12"/>
      <c r="J54" s="321" t="s">
        <v>160</v>
      </c>
      <c r="K54" s="297"/>
      <c r="L54" s="12"/>
      <c r="M54" s="321" t="s">
        <v>161</v>
      </c>
      <c r="N54" s="271"/>
    </row>
    <row r="55" spans="1:14">
      <c r="A55" s="386" t="s">
        <v>44</v>
      </c>
      <c r="B55" s="298"/>
      <c r="C55" s="3">
        <f>IF('Segment Tables'!$D$7="No",'Segment Tables'!E9,'Segment Tables'!I9)</f>
        <v>3.5000000000000003E-2</v>
      </c>
      <c r="D55" s="322">
        <f t="shared" ref="D55:D60" si="0">+C55*$D$53</f>
        <v>6.2518219274654736E-3</v>
      </c>
      <c r="E55" s="323"/>
      <c r="F55" s="3">
        <f>IF('Segment Tables'!$D$7="No",'Segment Tables'!F9,'Segment Tables'!J9)</f>
        <v>7.2999999999999995E-2</v>
      </c>
      <c r="G55" s="322">
        <f t="shared" ref="G55:G60" si="1">+F55*$G$53</f>
        <v>3.9118542917569677E-3</v>
      </c>
      <c r="H55" s="323"/>
      <c r="I55" s="3" t="str">
        <f>IF('Segment Tables'!$D$7="No",'Segment Tables'!G9,"--")</f>
        <v>--</v>
      </c>
      <c r="J55" s="322" t="str">
        <f>IF('Segment Tables'!D$7="No",+$J$53*I55,"--")</f>
        <v>--</v>
      </c>
      <c r="K55" s="323"/>
      <c r="L55" s="3">
        <f>IF('Segment Tables'!$D$7="No",'Segment Tables'!H9,'Segment Tables'!L9)</f>
        <v>1.9E-2</v>
      </c>
      <c r="M55" s="322">
        <f t="shared" ref="M55:M60" si="2">+$M$53*L55</f>
        <v>2.3756923324368797E-3</v>
      </c>
      <c r="N55" s="356"/>
    </row>
    <row r="56" spans="1:14">
      <c r="A56" s="386" t="s">
        <v>46</v>
      </c>
      <c r="B56" s="298"/>
      <c r="C56" s="3">
        <f>IF('Segment Tables'!$D$7="No",'Segment Tables'!E10,'Segment Tables'!I10)</f>
        <v>9.5000000000000001E-2</v>
      </c>
      <c r="D56" s="322">
        <f t="shared" si="0"/>
        <v>1.6969230945977715E-2</v>
      </c>
      <c r="E56" s="323"/>
      <c r="F56" s="3">
        <f>IF('Segment Tables'!$D$7="No",'Segment Tables'!F10,'Segment Tables'!J10)</f>
        <v>3.9E-2</v>
      </c>
      <c r="G56" s="322">
        <f t="shared" si="1"/>
        <v>2.0898947586098868E-3</v>
      </c>
      <c r="H56" s="323"/>
      <c r="I56" s="3" t="str">
        <f>IF('Segment Tables'!$D$7="No",'Segment Tables'!G10,"--")</f>
        <v>--</v>
      </c>
      <c r="J56" s="322" t="str">
        <f>IF('Segment Tables'!D$7="No",+$J$53*I56,"--")</f>
        <v>--</v>
      </c>
      <c r="K56" s="323"/>
      <c r="L56" s="3">
        <f>IF('Segment Tables'!$D$7="No",'Segment Tables'!H10,'Segment Tables'!L10)</f>
        <v>0.11899999999999999</v>
      </c>
      <c r="M56" s="322">
        <f t="shared" si="2"/>
        <v>1.4879336187367824E-2</v>
      </c>
      <c r="N56" s="356"/>
    </row>
    <row r="57" spans="1:14">
      <c r="A57" s="365" t="s">
        <v>45</v>
      </c>
      <c r="B57" s="298"/>
      <c r="C57" s="3">
        <f>IF('Segment Tables'!$D$7="No",'Segment Tables'!E11,'Segment Tables'!I11)</f>
        <v>0.126</v>
      </c>
      <c r="D57" s="322">
        <f t="shared" si="0"/>
        <v>2.2506558938875706E-2</v>
      </c>
      <c r="E57" s="323"/>
      <c r="F57" s="3">
        <f>IF('Segment Tables'!$D$7="No",'Segment Tables'!F11,'Segment Tables'!J11)</f>
        <v>0.107</v>
      </c>
      <c r="G57" s="322">
        <f t="shared" si="1"/>
        <v>5.7338138249040486E-3</v>
      </c>
      <c r="H57" s="323"/>
      <c r="I57" s="3" t="str">
        <f>IF('Segment Tables'!$D$7="No",'Segment Tables'!G11,"--")</f>
        <v>--</v>
      </c>
      <c r="J57" s="322" t="str">
        <f>IF('Segment Tables'!D$7="No",+$J$53*I57,"--")</f>
        <v>--</v>
      </c>
      <c r="K57" s="323"/>
      <c r="L57" s="3">
        <f>IF('Segment Tables'!$D$7="No",'Segment Tables'!H11,'Segment Tables'!L11)</f>
        <v>0.13400000000000001</v>
      </c>
      <c r="M57" s="322">
        <f t="shared" si="2"/>
        <v>1.6754882765607469E-2</v>
      </c>
      <c r="N57" s="356"/>
    </row>
    <row r="58" spans="1:14">
      <c r="A58" s="386" t="s">
        <v>43</v>
      </c>
      <c r="B58" s="298"/>
      <c r="C58" s="3">
        <f>IF('Segment Tables'!$D$7="No",'Segment Tables'!E12,'Segment Tables'!I12)</f>
        <v>8.8999999999999996E-2</v>
      </c>
      <c r="D58" s="322">
        <f t="shared" si="0"/>
        <v>1.5897490044126487E-2</v>
      </c>
      <c r="E58" s="323"/>
      <c r="F58" s="3">
        <f>IF('Segment Tables'!$D$7="No",'Segment Tables'!F12,'Segment Tables'!J12)</f>
        <v>9.1999999999999998E-2</v>
      </c>
      <c r="G58" s="322">
        <f t="shared" si="1"/>
        <v>4.9300081485156308E-3</v>
      </c>
      <c r="H58" s="323"/>
      <c r="I58" s="3" t="str">
        <f>IF('Segment Tables'!$D$7="No",'Segment Tables'!G12,"--")</f>
        <v>--</v>
      </c>
      <c r="J58" s="322" t="str">
        <f>IF('Segment Tables'!D$7="No",+$J$53*I58,"--")</f>
        <v>--</v>
      </c>
      <c r="K58" s="323"/>
      <c r="L58" s="3">
        <f>IF('Segment Tables'!$D$7="No",'Segment Tables'!H12,'Segment Tables'!L12)</f>
        <v>8.7999999999999995E-2</v>
      </c>
      <c r="M58" s="322">
        <f t="shared" si="2"/>
        <v>1.1003206592339231E-2</v>
      </c>
      <c r="N58" s="356"/>
    </row>
    <row r="59" spans="1:14">
      <c r="A59" s="386" t="s">
        <v>162</v>
      </c>
      <c r="B59" s="298"/>
      <c r="C59" s="3">
        <f>IF('Segment Tables'!$D$7="No",'Segment Tables'!E13,'Segment Tables'!I13)</f>
        <v>0.51500000000000001</v>
      </c>
      <c r="D59" s="322">
        <f t="shared" si="0"/>
        <v>9.1991094075563398E-2</v>
      </c>
      <c r="E59" s="323"/>
      <c r="F59" s="3">
        <f>IF('Segment Tables'!$D$7="No",'Segment Tables'!F13,'Segment Tables'!J13)</f>
        <v>0.5</v>
      </c>
      <c r="G59" s="322">
        <f t="shared" si="1"/>
        <v>2.6793522546280601E-2</v>
      </c>
      <c r="H59" s="323"/>
      <c r="I59" s="3" t="str">
        <f>IF('Segment Tables'!$D$7="No",'Segment Tables'!G13,"--")</f>
        <v>--</v>
      </c>
      <c r="J59" s="322" t="str">
        <f>IF('Segment Tables'!D$7="No",+$J$53*I59,"--")</f>
        <v>--</v>
      </c>
      <c r="K59" s="323"/>
      <c r="L59" s="3">
        <f>IF('Segment Tables'!$D$7="No",'Segment Tables'!H13,'Segment Tables'!L13)</f>
        <v>0.52200000000000002</v>
      </c>
      <c r="M59" s="322">
        <f t="shared" si="2"/>
        <v>6.5269020922739535E-2</v>
      </c>
      <c r="N59" s="356"/>
    </row>
    <row r="60" spans="1:14" ht="13.8" thickBot="1">
      <c r="A60" s="366" t="s">
        <v>163</v>
      </c>
      <c r="B60" s="367"/>
      <c r="C60" s="3">
        <f>IF('Segment Tables'!$D$7="No",'Segment Tables'!E14,'Segment Tables'!I14)</f>
        <v>0.14000000000000001</v>
      </c>
      <c r="D60" s="322">
        <f t="shared" si="0"/>
        <v>2.5007287709861895E-2</v>
      </c>
      <c r="E60" s="323"/>
      <c r="F60" s="3">
        <f>IF('Segment Tables'!$D$7="No",'Segment Tables'!F14,'Segment Tables'!J14)</f>
        <v>0.189</v>
      </c>
      <c r="G60" s="322">
        <f t="shared" si="1"/>
        <v>1.0127951522494067E-2</v>
      </c>
      <c r="H60" s="323"/>
      <c r="I60" s="3" t="str">
        <f>IF('Segment Tables'!$D$7="No",'Segment Tables'!G14,"--")</f>
        <v>--</v>
      </c>
      <c r="J60" s="322" t="str">
        <f>IF('Segment Tables'!D$7="No",+$J$53*I60,"--")</f>
        <v>--</v>
      </c>
      <c r="K60" s="323"/>
      <c r="L60" s="3">
        <f>IF('Segment Tables'!$D$7="No",'Segment Tables'!H14,'Segment Tables'!L14)</f>
        <v>0.11899999999999999</v>
      </c>
      <c r="M60" s="322">
        <f t="shared" si="2"/>
        <v>1.4879336187367824E-2</v>
      </c>
      <c r="N60" s="356"/>
    </row>
    <row r="61" spans="1:14">
      <c r="A61" s="333" t="s">
        <v>145</v>
      </c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</row>
    <row r="63" spans="1:14" ht="13.8" thickBot="1">
      <c r="A63" s="4"/>
      <c r="B63" s="1"/>
      <c r="C63" s="1"/>
      <c r="D63" s="1"/>
      <c r="E63" s="1"/>
      <c r="F63" s="1"/>
      <c r="G63" s="1"/>
      <c r="H63" s="1"/>
    </row>
    <row r="64" spans="1:14" ht="14.4" thickTop="1" thickBot="1">
      <c r="A64" s="233" t="s">
        <v>169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</row>
    <row r="65" spans="1:14">
      <c r="A65" s="368" t="s">
        <v>17</v>
      </c>
      <c r="B65" s="369"/>
      <c r="C65" s="369"/>
      <c r="D65" s="307" t="s">
        <v>18</v>
      </c>
      <c r="E65" s="369"/>
      <c r="F65" s="369"/>
      <c r="G65" s="369"/>
      <c r="H65" s="369"/>
      <c r="I65" s="375" t="s">
        <v>19</v>
      </c>
      <c r="J65" s="369"/>
      <c r="K65" s="369"/>
      <c r="L65" s="307" t="s">
        <v>20</v>
      </c>
      <c r="M65" s="369"/>
      <c r="N65" s="376"/>
    </row>
    <row r="66" spans="1:14">
      <c r="A66" s="377" t="s">
        <v>47</v>
      </c>
      <c r="B66" s="378"/>
      <c r="C66" s="378"/>
      <c r="D66" s="380" t="s">
        <v>48</v>
      </c>
      <c r="E66" s="298"/>
      <c r="F66" s="298"/>
      <c r="G66" s="298"/>
      <c r="H66" s="298"/>
      <c r="I66" s="381" t="s">
        <v>49</v>
      </c>
      <c r="J66" s="311"/>
      <c r="K66" s="311"/>
      <c r="L66" s="380" t="s">
        <v>50</v>
      </c>
      <c r="M66" s="380"/>
      <c r="N66" s="267"/>
    </row>
    <row r="67" spans="1:14">
      <c r="A67" s="379"/>
      <c r="B67" s="378"/>
      <c r="C67" s="378"/>
      <c r="D67" s="364" t="s">
        <v>170</v>
      </c>
      <c r="E67" s="297"/>
      <c r="F67" s="297"/>
      <c r="G67" s="297"/>
      <c r="H67" s="297"/>
      <c r="I67" s="382"/>
      <c r="J67" s="382"/>
      <c r="K67" s="382"/>
      <c r="L67" s="364" t="s">
        <v>171</v>
      </c>
      <c r="M67" s="297"/>
      <c r="N67" s="271"/>
    </row>
    <row r="68" spans="1:14">
      <c r="A68" s="372" t="s">
        <v>37</v>
      </c>
      <c r="B68" s="373"/>
      <c r="C68" s="373"/>
      <c r="D68" s="374">
        <f>+M37</f>
        <v>0.17862348364187067</v>
      </c>
      <c r="E68" s="374"/>
      <c r="F68" s="374"/>
      <c r="G68" s="374"/>
      <c r="H68" s="374"/>
      <c r="I68" s="370">
        <f>+$J$10</f>
        <v>0.1</v>
      </c>
      <c r="J68" s="370"/>
      <c r="K68" s="370"/>
      <c r="L68" s="370">
        <f>+D68/I68</f>
        <v>1.7862348364187066</v>
      </c>
      <c r="M68" s="370"/>
      <c r="N68" s="371"/>
    </row>
    <row r="69" spans="1:14">
      <c r="A69" s="372" t="s">
        <v>38</v>
      </c>
      <c r="B69" s="373"/>
      <c r="C69" s="373"/>
      <c r="D69" s="374">
        <f>+M38</f>
        <v>5.3587045092561202E-2</v>
      </c>
      <c r="E69" s="374"/>
      <c r="F69" s="374"/>
      <c r="G69" s="374"/>
      <c r="H69" s="374"/>
      <c r="I69" s="370">
        <f>+$J$10</f>
        <v>0.1</v>
      </c>
      <c r="J69" s="370"/>
      <c r="K69" s="370"/>
      <c r="L69" s="370">
        <f>+D69/I69</f>
        <v>0.53587045092561203</v>
      </c>
      <c r="M69" s="370"/>
      <c r="N69" s="371"/>
    </row>
    <row r="70" spans="1:14" ht="15.6">
      <c r="A70" s="365" t="s">
        <v>143</v>
      </c>
      <c r="B70" s="373"/>
      <c r="C70" s="373"/>
      <c r="D70" s="374">
        <f>+M39</f>
        <v>3.6975061113867225E-2</v>
      </c>
      <c r="E70" s="374"/>
      <c r="F70" s="374"/>
      <c r="G70" s="374"/>
      <c r="H70" s="374"/>
      <c r="I70" s="370">
        <f>+$J$10</f>
        <v>0.1</v>
      </c>
      <c r="J70" s="370"/>
      <c r="K70" s="370"/>
      <c r="L70" s="370">
        <f>+D70/I70</f>
        <v>0.36975061113867225</v>
      </c>
      <c r="M70" s="370"/>
      <c r="N70" s="371"/>
    </row>
    <row r="71" spans="1:14" ht="13.8" thickBot="1">
      <c r="A71" s="383" t="s">
        <v>39</v>
      </c>
      <c r="B71" s="384"/>
      <c r="C71" s="384"/>
      <c r="D71" s="385">
        <f>+M41</f>
        <v>0.12503643854930946</v>
      </c>
      <c r="E71" s="385"/>
      <c r="F71" s="385"/>
      <c r="G71" s="385"/>
      <c r="H71" s="385"/>
      <c r="I71" s="370">
        <f>+$J$10</f>
        <v>0.1</v>
      </c>
      <c r="J71" s="370"/>
      <c r="K71" s="370"/>
      <c r="L71" s="370">
        <f>+D71/I71</f>
        <v>1.2503643854930946</v>
      </c>
      <c r="M71" s="370"/>
      <c r="N71" s="371"/>
    </row>
    <row r="72" spans="1:14">
      <c r="A72" s="333" t="s">
        <v>145</v>
      </c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</row>
    <row r="73" spans="1:14">
      <c r="C73" s="1"/>
      <c r="D73" s="1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>
      <c r="C74" s="1"/>
      <c r="D74" s="1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>
      <c r="C75" s="1"/>
      <c r="D75" s="1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>
      <c r="C76" s="1"/>
      <c r="D76" s="1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>
      <c r="A77" s="26"/>
      <c r="C77" s="1"/>
      <c r="D77" s="1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81" spans="1:14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>
      <c r="A83" s="44"/>
      <c r="B83" s="44"/>
      <c r="C83" s="44"/>
      <c r="D83" s="44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>
      <c r="A84" s="44"/>
      <c r="B84" s="44"/>
      <c r="C84" s="44"/>
      <c r="D84" s="44"/>
      <c r="E84" s="22"/>
      <c r="H84" s="22"/>
      <c r="I84" s="22"/>
      <c r="J84" s="22"/>
      <c r="K84" s="45"/>
      <c r="L84" s="45"/>
      <c r="M84" s="22"/>
      <c r="N84" s="22"/>
    </row>
    <row r="85" spans="1:14">
      <c r="A85" s="46"/>
      <c r="B85" s="46"/>
      <c r="C85" s="46"/>
      <c r="D85" s="46"/>
      <c r="E85" s="36"/>
      <c r="F85" s="1"/>
      <c r="G85" s="1"/>
      <c r="H85" s="36"/>
      <c r="I85" s="1"/>
      <c r="J85" s="1"/>
      <c r="K85" s="1"/>
      <c r="L85" s="1"/>
      <c r="M85" s="10"/>
      <c r="N85" s="10"/>
    </row>
    <row r="86" spans="1:14">
      <c r="A86" s="46"/>
      <c r="B86" s="46"/>
      <c r="C86" s="46"/>
      <c r="D86" s="46"/>
      <c r="E86" s="36"/>
      <c r="F86" s="1"/>
      <c r="G86" s="1"/>
      <c r="H86" s="36"/>
      <c r="I86" s="1"/>
      <c r="J86" s="1"/>
      <c r="K86" s="1"/>
      <c r="L86" s="1"/>
      <c r="M86" s="10"/>
      <c r="N86" s="10"/>
    </row>
    <row r="87" spans="1:14">
      <c r="A87" s="46"/>
      <c r="B87" s="46"/>
      <c r="C87" s="46"/>
      <c r="D87" s="46"/>
      <c r="E87" s="36"/>
      <c r="F87" s="1"/>
      <c r="G87" s="1"/>
      <c r="H87" s="36"/>
      <c r="I87" s="1"/>
      <c r="J87" s="1"/>
      <c r="K87" s="1"/>
      <c r="L87" s="1"/>
      <c r="M87" s="10"/>
      <c r="N87" s="10"/>
    </row>
  </sheetData>
  <sheetProtection sheet="1" objects="1" scenarios="1"/>
  <mergeCells count="248">
    <mergeCell ref="R43:V46"/>
    <mergeCell ref="R41:S41"/>
    <mergeCell ref="R42:S42"/>
    <mergeCell ref="R39:S39"/>
    <mergeCell ref="R40:S40"/>
    <mergeCell ref="R37:S37"/>
    <mergeCell ref="R38:S38"/>
    <mergeCell ref="R35:S35"/>
    <mergeCell ref="R36:S36"/>
    <mergeCell ref="R17:S17"/>
    <mergeCell ref="R18:S18"/>
    <mergeCell ref="R19:S19"/>
    <mergeCell ref="R21:S21"/>
    <mergeCell ref="R20:S20"/>
    <mergeCell ref="R22:S22"/>
    <mergeCell ref="R15:S16"/>
    <mergeCell ref="R13:V14"/>
    <mergeCell ref="T15:V15"/>
    <mergeCell ref="R30:V31"/>
    <mergeCell ref="R34:S34"/>
    <mergeCell ref="R32:S33"/>
    <mergeCell ref="T32:V32"/>
    <mergeCell ref="J40:K41"/>
    <mergeCell ref="H37:I37"/>
    <mergeCell ref="F36:G36"/>
    <mergeCell ref="H36:I36"/>
    <mergeCell ref="F37:G37"/>
    <mergeCell ref="F38:G38"/>
    <mergeCell ref="J33:K33"/>
    <mergeCell ref="M33:N33"/>
    <mergeCell ref="A32:N32"/>
    <mergeCell ref="A33:B33"/>
    <mergeCell ref="C33:E33"/>
    <mergeCell ref="F33:G33"/>
    <mergeCell ref="H33:I33"/>
    <mergeCell ref="M38:N38"/>
    <mergeCell ref="A34:B36"/>
    <mergeCell ref="C34:E34"/>
    <mergeCell ref="F34:G35"/>
    <mergeCell ref="M39:N39"/>
    <mergeCell ref="M36:N36"/>
    <mergeCell ref="M34:N35"/>
    <mergeCell ref="F27:G27"/>
    <mergeCell ref="H27:I27"/>
    <mergeCell ref="J27:L27"/>
    <mergeCell ref="F28:G28"/>
    <mergeCell ref="C28:E28"/>
    <mergeCell ref="H28:I28"/>
    <mergeCell ref="A28:B28"/>
    <mergeCell ref="J28:L28"/>
    <mergeCell ref="R23:S23"/>
    <mergeCell ref="R24:V25"/>
    <mergeCell ref="M28:N28"/>
    <mergeCell ref="M24:N25"/>
    <mergeCell ref="J24:L25"/>
    <mergeCell ref="A27:B27"/>
    <mergeCell ref="C27:E27"/>
    <mergeCell ref="A58:B58"/>
    <mergeCell ref="D58:E58"/>
    <mergeCell ref="G58:H58"/>
    <mergeCell ref="J58:K58"/>
    <mergeCell ref="M58:N58"/>
    <mergeCell ref="A56:B56"/>
    <mergeCell ref="D56:E56"/>
    <mergeCell ref="G56:H56"/>
    <mergeCell ref="J56:K56"/>
    <mergeCell ref="M56:N56"/>
    <mergeCell ref="A57:B57"/>
    <mergeCell ref="D57:E57"/>
    <mergeCell ref="G57:H57"/>
    <mergeCell ref="J57:K57"/>
    <mergeCell ref="M57:N57"/>
    <mergeCell ref="A72:N72"/>
    <mergeCell ref="A60:B60"/>
    <mergeCell ref="D60:E60"/>
    <mergeCell ref="G60:H60"/>
    <mergeCell ref="J60:K60"/>
    <mergeCell ref="M60:N60"/>
    <mergeCell ref="A61:N61"/>
    <mergeCell ref="D69:H69"/>
    <mergeCell ref="I69:K69"/>
    <mergeCell ref="L69:N69"/>
    <mergeCell ref="A66:C67"/>
    <mergeCell ref="D66:H66"/>
    <mergeCell ref="I71:K71"/>
    <mergeCell ref="A70:C70"/>
    <mergeCell ref="D70:H70"/>
    <mergeCell ref="I70:K70"/>
    <mergeCell ref="L70:N70"/>
    <mergeCell ref="A69:C69"/>
    <mergeCell ref="A71:C71"/>
    <mergeCell ref="D71:H71"/>
    <mergeCell ref="A59:B59"/>
    <mergeCell ref="D59:E59"/>
    <mergeCell ref="G59:H59"/>
    <mergeCell ref="J59:K59"/>
    <mergeCell ref="M59:N59"/>
    <mergeCell ref="L71:N71"/>
    <mergeCell ref="L66:N66"/>
    <mergeCell ref="I66:K67"/>
    <mergeCell ref="A54:B54"/>
    <mergeCell ref="D54:E54"/>
    <mergeCell ref="G54:H54"/>
    <mergeCell ref="J54:K54"/>
    <mergeCell ref="M54:N54"/>
    <mergeCell ref="A55:B55"/>
    <mergeCell ref="D55:E55"/>
    <mergeCell ref="G55:H55"/>
    <mergeCell ref="J55:K55"/>
    <mergeCell ref="M55:N55"/>
    <mergeCell ref="A68:C68"/>
    <mergeCell ref="D68:H68"/>
    <mergeCell ref="I68:K68"/>
    <mergeCell ref="L68:N68"/>
    <mergeCell ref="D67:H67"/>
    <mergeCell ref="L67:N67"/>
    <mergeCell ref="M51:N52"/>
    <mergeCell ref="A53:B53"/>
    <mergeCell ref="D53:E53"/>
    <mergeCell ref="G53:H53"/>
    <mergeCell ref="J53:K53"/>
    <mergeCell ref="M53:N53"/>
    <mergeCell ref="J48:K50"/>
    <mergeCell ref="L48:L50"/>
    <mergeCell ref="M48:N50"/>
    <mergeCell ref="C51:C52"/>
    <mergeCell ref="D51:E52"/>
    <mergeCell ref="F51:F52"/>
    <mergeCell ref="G51:H52"/>
    <mergeCell ref="I51:I52"/>
    <mergeCell ref="J51:K52"/>
    <mergeCell ref="L51:L52"/>
    <mergeCell ref="A48:B52"/>
    <mergeCell ref="C48:C50"/>
    <mergeCell ref="D48:E50"/>
    <mergeCell ref="F48:F50"/>
    <mergeCell ref="G48:H50"/>
    <mergeCell ref="I48:I50"/>
    <mergeCell ref="A47:B47"/>
    <mergeCell ref="D47:E47"/>
    <mergeCell ref="G47:H47"/>
    <mergeCell ref="J47:K47"/>
    <mergeCell ref="M47:N47"/>
    <mergeCell ref="A42:N42"/>
    <mergeCell ref="D40:D41"/>
    <mergeCell ref="E40:E41"/>
    <mergeCell ref="M41:N41"/>
    <mergeCell ref="F40:G41"/>
    <mergeCell ref="H40:I41"/>
    <mergeCell ref="A46:N46"/>
    <mergeCell ref="L40:L41"/>
    <mergeCell ref="M40:N40"/>
    <mergeCell ref="A40:B41"/>
    <mergeCell ref="C40:C41"/>
    <mergeCell ref="M37:N37"/>
    <mergeCell ref="F39:G39"/>
    <mergeCell ref="H38:I38"/>
    <mergeCell ref="H39:I39"/>
    <mergeCell ref="J37:K37"/>
    <mergeCell ref="J38:K38"/>
    <mergeCell ref="J39:K39"/>
    <mergeCell ref="J34:K34"/>
    <mergeCell ref="L34:L36"/>
    <mergeCell ref="C35:E35"/>
    <mergeCell ref="D65:H65"/>
    <mergeCell ref="I65:K65"/>
    <mergeCell ref="L65:N65"/>
    <mergeCell ref="A65:C65"/>
    <mergeCell ref="A64:N64"/>
    <mergeCell ref="M23:N23"/>
    <mergeCell ref="M27:N27"/>
    <mergeCell ref="A23:B23"/>
    <mergeCell ref="C23:E23"/>
    <mergeCell ref="F23:G23"/>
    <mergeCell ref="H23:I23"/>
    <mergeCell ref="J23:L23"/>
    <mergeCell ref="F26:G26"/>
    <mergeCell ref="H26:I26"/>
    <mergeCell ref="A26:B26"/>
    <mergeCell ref="C26:E26"/>
    <mergeCell ref="J26:L26"/>
    <mergeCell ref="M26:N26"/>
    <mergeCell ref="A24:B25"/>
    <mergeCell ref="C24:E25"/>
    <mergeCell ref="F24:G25"/>
    <mergeCell ref="H24:I25"/>
    <mergeCell ref="H34:I34"/>
    <mergeCell ref="A37:B37"/>
    <mergeCell ref="A39:B39"/>
    <mergeCell ref="A14:G14"/>
    <mergeCell ref="H14:I14"/>
    <mergeCell ref="J16:N16"/>
    <mergeCell ref="J15:N15"/>
    <mergeCell ref="J14:N14"/>
    <mergeCell ref="A15:G15"/>
    <mergeCell ref="H15:I15"/>
    <mergeCell ref="J17:N17"/>
    <mergeCell ref="A22:N22"/>
    <mergeCell ref="A19:G19"/>
    <mergeCell ref="H19:I19"/>
    <mergeCell ref="J19:N19"/>
    <mergeCell ref="A18:G18"/>
    <mergeCell ref="H18:I18"/>
    <mergeCell ref="J18:N18"/>
    <mergeCell ref="A17:G17"/>
    <mergeCell ref="H17:I17"/>
    <mergeCell ref="A16:G16"/>
    <mergeCell ref="H16:I16"/>
    <mergeCell ref="J35:K36"/>
    <mergeCell ref="A38:B38"/>
    <mergeCell ref="H35:I35"/>
    <mergeCell ref="A13:G13"/>
    <mergeCell ref="H13:I13"/>
    <mergeCell ref="J13:N13"/>
    <mergeCell ref="H10:I10"/>
    <mergeCell ref="J11:N11"/>
    <mergeCell ref="J10:N10"/>
    <mergeCell ref="H11:I11"/>
    <mergeCell ref="A10:G10"/>
    <mergeCell ref="A12:G12"/>
    <mergeCell ref="H12:I12"/>
    <mergeCell ref="J12:N12"/>
    <mergeCell ref="A11:C11"/>
    <mergeCell ref="A2:N2"/>
    <mergeCell ref="A3:G3"/>
    <mergeCell ref="H3:N3"/>
    <mergeCell ref="A5:C5"/>
    <mergeCell ref="E5:G5"/>
    <mergeCell ref="H5:J5"/>
    <mergeCell ref="K5:N5"/>
    <mergeCell ref="A4:C4"/>
    <mergeCell ref="E4:G4"/>
    <mergeCell ref="H4:J4"/>
    <mergeCell ref="K4:N4"/>
    <mergeCell ref="A7:C7"/>
    <mergeCell ref="E7:G7"/>
    <mergeCell ref="H7:J7"/>
    <mergeCell ref="K7:N7"/>
    <mergeCell ref="A6:C6"/>
    <mergeCell ref="E6:G6"/>
    <mergeCell ref="H6:J6"/>
    <mergeCell ref="K6:N6"/>
    <mergeCell ref="H9:I9"/>
    <mergeCell ref="J9:N9"/>
    <mergeCell ref="A8:G8"/>
    <mergeCell ref="H8:I8"/>
    <mergeCell ref="J8:N8"/>
    <mergeCell ref="A9:G9"/>
  </mergeCells>
  <conditionalFormatting sqref="J11:N11">
    <cfRule type="cellIs" dxfId="30" priority="2" stopIfTrue="1" operator="greaterThan">
      <formula>$F$11</formula>
    </cfRule>
  </conditionalFormatting>
  <conditionalFormatting sqref="O11">
    <cfRule type="expression" dxfId="29" priority="1">
      <formula>J11&gt;F11</formula>
    </cfRule>
  </conditionalFormatting>
  <dataValidations count="12">
    <dataValidation type="list" allowBlank="1" showInputMessage="1" showErrorMessage="1" errorTitle="Invalid" sqref="J18:N18" xr:uid="{00000000-0002-0000-0200-000000000000}">
      <formula1>SpEnforce</formula1>
    </dataValidation>
    <dataValidation type="list" allowBlank="1" showInputMessage="1" showErrorMessage="1" sqref="J17:N17" xr:uid="{00000000-0002-0000-0200-000001000000}">
      <formula1>Lighting</formula1>
    </dataValidation>
    <dataValidation type="list" allowBlank="1" showInputMessage="1" showErrorMessage="1" errorTitle="Error Input" error="Select from the values provided.  Refer to p. 11-13 of the HSM for lane width rounding options." sqref="J13:N13" xr:uid="{00000000-0002-0000-0200-000002000000}">
      <formula1>LWidth</formula1>
    </dataValidation>
    <dataValidation type="list" allowBlank="1" showInputMessage="1" showErrorMessage="1" errorTitle="Input Error" error="Select from the options provided.  Refer to p. 11-13 of the HSM for rounding recommendations for shoulder widths." sqref="J14:N14" xr:uid="{00000000-0002-0000-0200-000003000000}">
      <formula1>Shld3</formula1>
    </dataValidation>
    <dataValidation type="list" allowBlank="1" showInputMessage="1" showErrorMessage="1" sqref="J15:N15" xr:uid="{00000000-0002-0000-0200-000004000000}">
      <formula1>SType</formula1>
    </dataValidation>
    <dataValidation type="decimal" operator="greaterThan" allowBlank="1" showInputMessage="1" showErrorMessage="1" sqref="J10:N10" xr:uid="{00000000-0002-0000-0200-000005000000}">
      <formula1>0</formula1>
    </dataValidation>
    <dataValidation operator="greaterThan" allowBlank="1" showInputMessage="1" showErrorMessage="1" sqref="J9:N9" xr:uid="{00000000-0002-0000-0200-000006000000}"/>
    <dataValidation type="list" allowBlank="1" showInputMessage="1" showErrorMessage="1" sqref="J16:N16" xr:uid="{00000000-0002-0000-0200-000007000000}">
      <formula1>SSlope2</formula1>
    </dataValidation>
    <dataValidation type="whole" operator="greaterThan" allowBlank="1" showInputMessage="1" showErrorMessage="1" sqref="K7:N7" xr:uid="{00000000-0002-0000-0200-000008000000}">
      <formula1>1990</formula1>
    </dataValidation>
    <dataValidation type="whole" operator="greaterThanOrEqual" allowBlank="1" showInputMessage="1" showErrorMessage="1" sqref="J11:N11" xr:uid="{00000000-0002-0000-0200-000009000000}">
      <formula1>0</formula1>
    </dataValidation>
    <dataValidation type="list" operator="lessThanOrEqual" allowBlank="1" showInputMessage="1" showErrorMessage="1" sqref="J12:N12" xr:uid="{00000000-0002-0000-0200-00000A000000}">
      <formula1>District</formula1>
    </dataValidation>
    <dataValidation type="decimal" allowBlank="1" showInputMessage="1" showErrorMessage="1" sqref="J19:N19" xr:uid="{6EDF5A6C-00DC-45FB-AF41-B1A54F065CDA}">
      <formula1>0</formula1>
      <formula2>10</formula2>
    </dataValidation>
  </dataValidations>
  <hyperlinks>
    <hyperlink ref="D11" r:id="rId1" xr:uid="{2BA936B9-A395-4A16-A278-61E8215224EF}"/>
  </hyperlinks>
  <pageMargins left="0.7" right="0.7" top="0.75" bottom="0.75" header="0.3" footer="0.3"/>
  <pageSetup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H98"/>
  <sheetViews>
    <sheetView workbookViewId="0"/>
  </sheetViews>
  <sheetFormatPr defaultRowHeight="13.2"/>
  <cols>
    <col min="2" max="2" width="18.6640625" bestFit="1" customWidth="1"/>
    <col min="3" max="5" width="15.21875" customWidth="1"/>
    <col min="6" max="6" width="15.21875" bestFit="1" customWidth="1"/>
    <col min="7" max="7" width="14.6640625" customWidth="1"/>
    <col min="8" max="10" width="13.6640625" customWidth="1"/>
    <col min="11" max="11" width="14.6640625" customWidth="1"/>
    <col min="12" max="13" width="13.6640625" customWidth="1"/>
    <col min="14" max="32" width="12.6640625" customWidth="1"/>
  </cols>
  <sheetData>
    <row r="1" spans="2:33">
      <c r="B1" s="102" t="s">
        <v>337</v>
      </c>
      <c r="O1" s="102" t="s">
        <v>338</v>
      </c>
    </row>
    <row r="2" spans="2:33" ht="13.8" thickBot="1">
      <c r="B2" s="6"/>
      <c r="E2" s="1"/>
      <c r="K2" s="7"/>
    </row>
    <row r="3" spans="2:33" ht="13.8" thickTop="1">
      <c r="B3" s="443" t="s">
        <v>372</v>
      </c>
      <c r="C3" s="443"/>
      <c r="D3" s="443"/>
      <c r="E3" s="443"/>
      <c r="F3" s="443"/>
      <c r="G3" s="443"/>
      <c r="H3" s="443"/>
      <c r="I3" s="443"/>
      <c r="J3" s="443"/>
      <c r="K3" s="444"/>
      <c r="L3" s="444"/>
      <c r="AA3" s="17"/>
    </row>
    <row r="4" spans="2:33" ht="13.8" thickBot="1">
      <c r="B4" s="389"/>
      <c r="C4" s="389"/>
      <c r="D4" s="389"/>
      <c r="E4" s="389"/>
      <c r="F4" s="389"/>
      <c r="G4" s="389"/>
      <c r="H4" s="389"/>
      <c r="I4" s="389"/>
      <c r="J4" s="389"/>
      <c r="K4" s="445"/>
      <c r="L4" s="445"/>
      <c r="AA4" s="17"/>
    </row>
    <row r="5" spans="2:33" ht="13.8" thickBot="1">
      <c r="B5" s="485" t="s">
        <v>62</v>
      </c>
      <c r="C5" s="485"/>
      <c r="D5" s="486"/>
      <c r="E5" s="446" t="s">
        <v>176</v>
      </c>
      <c r="F5" s="446"/>
      <c r="G5" s="446"/>
      <c r="H5" s="446"/>
      <c r="I5" s="446"/>
      <c r="J5" s="446"/>
      <c r="K5" s="447"/>
      <c r="L5" s="249"/>
      <c r="AA5" s="4"/>
    </row>
    <row r="6" spans="2:33" ht="13.8" thickTop="1">
      <c r="B6" s="487"/>
      <c r="C6" s="487"/>
      <c r="D6" s="488"/>
      <c r="E6" s="448" t="s">
        <v>60</v>
      </c>
      <c r="F6" s="448"/>
      <c r="G6" s="448"/>
      <c r="H6" s="298"/>
      <c r="I6" s="380" t="s">
        <v>61</v>
      </c>
      <c r="J6" s="298"/>
      <c r="K6" s="298"/>
      <c r="L6" s="294"/>
      <c r="O6" s="443" t="s">
        <v>377</v>
      </c>
      <c r="P6" s="443"/>
      <c r="Q6" s="443"/>
      <c r="R6" s="443"/>
      <c r="S6" s="443"/>
      <c r="T6" s="443"/>
      <c r="U6" s="443"/>
      <c r="V6" s="443"/>
      <c r="W6" s="443"/>
      <c r="X6" s="443"/>
      <c r="Y6" s="444"/>
      <c r="Z6" s="444"/>
      <c r="AA6" s="4"/>
      <c r="AC6" s="388" t="s">
        <v>383</v>
      </c>
      <c r="AD6" s="388"/>
      <c r="AE6" s="388"/>
      <c r="AF6" s="388"/>
      <c r="AG6" s="388"/>
    </row>
    <row r="7" spans="2:33" ht="13.8" thickBot="1">
      <c r="B7" s="460" t="s">
        <v>88</v>
      </c>
      <c r="C7" s="297"/>
      <c r="D7" s="203" t="s">
        <v>86</v>
      </c>
      <c r="E7" s="449" t="s">
        <v>37</v>
      </c>
      <c r="F7" s="289" t="s">
        <v>78</v>
      </c>
      <c r="G7" s="289" t="s">
        <v>183</v>
      </c>
      <c r="H7" s="289" t="s">
        <v>184</v>
      </c>
      <c r="I7" s="449" t="s">
        <v>37</v>
      </c>
      <c r="J7" s="289" t="s">
        <v>78</v>
      </c>
      <c r="K7" s="289" t="s">
        <v>183</v>
      </c>
      <c r="L7" s="455" t="s">
        <v>184</v>
      </c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445"/>
      <c r="Z7" s="445"/>
      <c r="AA7" s="30"/>
      <c r="AC7" s="389"/>
      <c r="AD7" s="389"/>
      <c r="AE7" s="389"/>
      <c r="AF7" s="389"/>
      <c r="AG7" s="389"/>
    </row>
    <row r="8" spans="2:33">
      <c r="B8" s="258"/>
      <c r="C8" s="258"/>
      <c r="D8" s="258"/>
      <c r="E8" s="450"/>
      <c r="F8" s="457"/>
      <c r="G8" s="457"/>
      <c r="H8" s="457"/>
      <c r="I8" s="450"/>
      <c r="J8" s="457"/>
      <c r="K8" s="457"/>
      <c r="L8" s="456"/>
      <c r="O8" s="471" t="s">
        <v>53</v>
      </c>
      <c r="P8" s="473" t="s">
        <v>8</v>
      </c>
      <c r="Q8" s="406"/>
      <c r="R8" s="406"/>
      <c r="S8" s="406"/>
      <c r="T8" s="406"/>
      <c r="U8" s="406"/>
      <c r="V8" s="406"/>
      <c r="W8" s="406"/>
      <c r="X8" s="406"/>
      <c r="Y8" s="474"/>
      <c r="Z8" s="474"/>
      <c r="AA8" s="30"/>
      <c r="AC8" s="388" t="s">
        <v>198</v>
      </c>
      <c r="AD8" s="477"/>
      <c r="AE8" s="481" t="s">
        <v>199</v>
      </c>
      <c r="AF8" s="482"/>
      <c r="AG8" s="482"/>
    </row>
    <row r="9" spans="2:33">
      <c r="B9" s="458" t="s">
        <v>177</v>
      </c>
      <c r="C9" s="459"/>
      <c r="D9" s="459"/>
      <c r="E9" s="66">
        <v>8.9999999999999993E-3</v>
      </c>
      <c r="F9" s="66">
        <v>2.9000000000000001E-2</v>
      </c>
      <c r="G9" s="66">
        <v>4.2999999999999997E-2</v>
      </c>
      <c r="H9" s="3">
        <v>1E-3</v>
      </c>
      <c r="I9" s="184">
        <v>3.5000000000000003E-2</v>
      </c>
      <c r="J9" s="185">
        <v>7.2999999999999995E-2</v>
      </c>
      <c r="K9" s="185"/>
      <c r="L9" s="184">
        <v>1.9E-2</v>
      </c>
      <c r="O9" s="472"/>
      <c r="P9" s="21">
        <v>0</v>
      </c>
      <c r="Q9" s="21">
        <v>1</v>
      </c>
      <c r="R9" s="21">
        <v>2</v>
      </c>
      <c r="S9" s="21">
        <v>3</v>
      </c>
      <c r="T9" s="21">
        <v>4</v>
      </c>
      <c r="U9" s="21">
        <v>5</v>
      </c>
      <c r="V9" s="21">
        <v>6</v>
      </c>
      <c r="W9" s="21">
        <v>7</v>
      </c>
      <c r="X9" s="11">
        <v>8</v>
      </c>
      <c r="Y9" s="21">
        <v>9</v>
      </c>
      <c r="Z9" s="11">
        <v>10</v>
      </c>
      <c r="AA9" s="30"/>
      <c r="AC9" s="478"/>
      <c r="AD9" s="479"/>
      <c r="AE9" s="483"/>
      <c r="AF9" s="484"/>
      <c r="AG9" s="484"/>
    </row>
    <row r="10" spans="2:33">
      <c r="B10" s="458" t="s">
        <v>178</v>
      </c>
      <c r="C10" s="459"/>
      <c r="D10" s="459"/>
      <c r="E10" s="3">
        <v>9.8000000000000004E-2</v>
      </c>
      <c r="F10" s="3">
        <v>4.8000000000000001E-2</v>
      </c>
      <c r="G10" s="3">
        <v>4.3999999999999997E-2</v>
      </c>
      <c r="H10" s="3">
        <v>0.12</v>
      </c>
      <c r="I10" s="184">
        <v>9.5000000000000001E-2</v>
      </c>
      <c r="J10" s="184">
        <v>3.9E-2</v>
      </c>
      <c r="K10" s="184"/>
      <c r="L10" s="184">
        <v>0.11899999999999999</v>
      </c>
      <c r="O10" s="27" t="s">
        <v>65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f>+(T10+V10)/2</f>
        <v>1</v>
      </c>
      <c r="V10" s="12">
        <v>1</v>
      </c>
      <c r="W10" s="12">
        <f>+(V10+X10)/2</f>
        <v>1</v>
      </c>
      <c r="X10" s="13">
        <v>1</v>
      </c>
      <c r="Y10" s="12">
        <f>+(X10+Z10)/2</f>
        <v>1</v>
      </c>
      <c r="Z10" s="13">
        <v>1</v>
      </c>
      <c r="AA10" s="30"/>
      <c r="AC10" s="228">
        <v>0</v>
      </c>
      <c r="AD10" s="357"/>
      <c r="AE10" s="480">
        <v>1.18</v>
      </c>
      <c r="AF10" s="387"/>
      <c r="AG10" s="387"/>
    </row>
    <row r="11" spans="2:33">
      <c r="B11" s="458" t="s">
        <v>179</v>
      </c>
      <c r="C11" s="459"/>
      <c r="D11" s="459"/>
      <c r="E11" s="3">
        <v>0.246</v>
      </c>
      <c r="F11" s="3">
        <v>0.30499999999999999</v>
      </c>
      <c r="G11" s="3">
        <v>0.217</v>
      </c>
      <c r="H11" s="3">
        <v>0.22</v>
      </c>
      <c r="I11" s="184">
        <v>0.126</v>
      </c>
      <c r="J11" s="184">
        <v>0.107</v>
      </c>
      <c r="K11" s="184"/>
      <c r="L11" s="184">
        <v>0.13400000000000001</v>
      </c>
      <c r="O11" s="27" t="s">
        <v>66</v>
      </c>
      <c r="P11" s="12">
        <v>1</v>
      </c>
      <c r="Q11" s="12">
        <v>1</v>
      </c>
      <c r="R11" s="12">
        <v>1.01</v>
      </c>
      <c r="S11" s="12">
        <v>1.01</v>
      </c>
      <c r="T11" s="12">
        <v>1.01</v>
      </c>
      <c r="U11" s="12">
        <f>+(T11+V11)/2</f>
        <v>1.0150000000000001</v>
      </c>
      <c r="V11" s="12">
        <v>1.02</v>
      </c>
      <c r="W11" s="12">
        <f>+(V11+X11)/2</f>
        <v>1.02</v>
      </c>
      <c r="X11" s="13">
        <v>1.02</v>
      </c>
      <c r="Y11" s="12">
        <f>+(X11+Z11)/2</f>
        <v>1.0249999999999999</v>
      </c>
      <c r="Z11" s="13">
        <v>1.03</v>
      </c>
      <c r="AC11" s="357">
        <v>1</v>
      </c>
      <c r="AD11" s="297"/>
      <c r="AE11" s="480">
        <f>+(AE10+AE12)/2</f>
        <v>1.1549999999999998</v>
      </c>
      <c r="AF11" s="387"/>
      <c r="AG11" s="387"/>
    </row>
    <row r="12" spans="2:33">
      <c r="B12" s="458" t="s">
        <v>180</v>
      </c>
      <c r="C12" s="459"/>
      <c r="D12" s="459"/>
      <c r="E12" s="3">
        <v>0.35599999999999998</v>
      </c>
      <c r="F12" s="3">
        <v>0.35199999999999998</v>
      </c>
      <c r="G12" s="3">
        <v>0.34799999999999998</v>
      </c>
      <c r="H12" s="3">
        <v>0.35799999999999998</v>
      </c>
      <c r="I12" s="184">
        <v>8.8999999999999996E-2</v>
      </c>
      <c r="J12" s="184">
        <v>9.1999999999999998E-2</v>
      </c>
      <c r="K12" s="184"/>
      <c r="L12" s="184">
        <v>8.7999999999999995E-2</v>
      </c>
      <c r="O12" s="27" t="s">
        <v>67</v>
      </c>
      <c r="P12" s="12">
        <v>1</v>
      </c>
      <c r="Q12" s="12">
        <v>1.01</v>
      </c>
      <c r="R12" s="12">
        <v>1.02</v>
      </c>
      <c r="S12" s="12">
        <v>1.02</v>
      </c>
      <c r="T12" s="12">
        <v>1.03</v>
      </c>
      <c r="U12" s="12">
        <f>+(T12+V12)/2</f>
        <v>1.0350000000000001</v>
      </c>
      <c r="V12" s="12">
        <v>1.04</v>
      </c>
      <c r="W12" s="12">
        <f>+(V12+X12)/2</f>
        <v>1.05</v>
      </c>
      <c r="X12" s="13">
        <v>1.06</v>
      </c>
      <c r="Y12" s="67">
        <f>+(X12+Z12)/2</f>
        <v>1.0649999999999999</v>
      </c>
      <c r="Z12" s="68">
        <v>1.07</v>
      </c>
      <c r="AC12" s="229">
        <v>2</v>
      </c>
      <c r="AD12" s="297"/>
      <c r="AE12" s="480">
        <v>1.1299999999999999</v>
      </c>
      <c r="AF12" s="387"/>
      <c r="AG12" s="387"/>
    </row>
    <row r="13" spans="2:33" ht="13.8" thickBot="1">
      <c r="B13" s="458" t="s">
        <v>181</v>
      </c>
      <c r="C13" s="459"/>
      <c r="D13" s="459"/>
      <c r="E13" s="3">
        <v>0.23799999999999999</v>
      </c>
      <c r="F13" s="3">
        <v>0.23799999999999999</v>
      </c>
      <c r="G13" s="3">
        <v>0.30399999999999999</v>
      </c>
      <c r="H13" s="3">
        <v>0.23699999999999999</v>
      </c>
      <c r="I13" s="184">
        <v>0.51500000000000001</v>
      </c>
      <c r="J13" s="184">
        <v>0.5</v>
      </c>
      <c r="K13" s="184"/>
      <c r="L13" s="184">
        <v>0.52200000000000002</v>
      </c>
      <c r="O13" s="28" t="s">
        <v>68</v>
      </c>
      <c r="P13" s="14">
        <v>1</v>
      </c>
      <c r="Q13" s="14">
        <v>1.01</v>
      </c>
      <c r="R13" s="14">
        <v>1.03</v>
      </c>
      <c r="S13" s="14">
        <v>1.04</v>
      </c>
      <c r="T13" s="14">
        <v>1.05</v>
      </c>
      <c r="U13" s="12">
        <f>+(T13+V13)/2</f>
        <v>1.0649999999999999</v>
      </c>
      <c r="V13" s="14">
        <v>1.08</v>
      </c>
      <c r="W13" s="12">
        <f>+(V13+X13)/2</f>
        <v>1.0950000000000002</v>
      </c>
      <c r="X13" s="15">
        <v>1.1100000000000001</v>
      </c>
      <c r="Y13" s="14">
        <f>+(X13+Z13)/2</f>
        <v>1.125</v>
      </c>
      <c r="Z13" s="15">
        <v>1.1399999999999999</v>
      </c>
      <c r="AC13" s="357">
        <v>3</v>
      </c>
      <c r="AD13" s="297"/>
      <c r="AE13" s="480">
        <f>+(AE12+AE14)/2</f>
        <v>1.1099999999999999</v>
      </c>
      <c r="AF13" s="387"/>
      <c r="AG13" s="387"/>
    </row>
    <row r="14" spans="2:33" ht="13.8" thickBot="1">
      <c r="B14" s="463" t="s">
        <v>182</v>
      </c>
      <c r="C14" s="464"/>
      <c r="D14" s="464"/>
      <c r="E14" s="50">
        <v>5.2999999999999999E-2</v>
      </c>
      <c r="F14" s="50">
        <v>2.8000000000000001E-2</v>
      </c>
      <c r="G14" s="50">
        <v>4.3999999999999997E-2</v>
      </c>
      <c r="H14" s="50">
        <v>6.4000000000000001E-2</v>
      </c>
      <c r="I14" s="186">
        <v>0.14000000000000001</v>
      </c>
      <c r="J14" s="186">
        <v>0.189</v>
      </c>
      <c r="K14" s="186"/>
      <c r="L14" s="186">
        <v>0.11899999999999999</v>
      </c>
      <c r="O14" s="468" t="s">
        <v>84</v>
      </c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C14" s="229">
        <v>4</v>
      </c>
      <c r="AD14" s="297"/>
      <c r="AE14" s="480">
        <v>1.0900000000000001</v>
      </c>
      <c r="AF14" s="387"/>
      <c r="AG14" s="387"/>
    </row>
    <row r="15" spans="2:33" ht="14.4" thickTop="1" thickBot="1">
      <c r="B15" s="475" t="s">
        <v>201</v>
      </c>
      <c r="C15" s="476"/>
      <c r="D15" s="476"/>
      <c r="E15" s="83">
        <v>0.27</v>
      </c>
      <c r="F15" s="83"/>
      <c r="G15" s="83"/>
      <c r="H15" s="83"/>
      <c r="I15" s="187">
        <v>0.27</v>
      </c>
      <c r="J15" s="187"/>
      <c r="K15" s="187"/>
      <c r="L15" s="188"/>
      <c r="M15" s="46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C15" s="357">
        <v>5</v>
      </c>
      <c r="AD15" s="297"/>
      <c r="AE15" s="480">
        <f>+(AE14+AE16)/2</f>
        <v>1.0649999999999999</v>
      </c>
      <c r="AF15" s="387"/>
      <c r="AG15" s="387"/>
    </row>
    <row r="16" spans="2:33">
      <c r="B16" s="333" t="s">
        <v>145</v>
      </c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AC16" s="229">
        <v>6</v>
      </c>
      <c r="AD16" s="297"/>
      <c r="AE16" s="480">
        <v>1.04</v>
      </c>
      <c r="AF16" s="387"/>
      <c r="AG16" s="387"/>
    </row>
    <row r="17" spans="2:34">
      <c r="AC17" s="357">
        <v>7</v>
      </c>
      <c r="AD17" s="297"/>
      <c r="AE17" s="480">
        <f>+(AE16+AE18)/2</f>
        <v>1.02</v>
      </c>
      <c r="AF17" s="387"/>
      <c r="AG17" s="387"/>
    </row>
    <row r="18" spans="2:34">
      <c r="AC18" s="229">
        <v>8</v>
      </c>
      <c r="AD18" s="297"/>
      <c r="AE18" s="363">
        <v>1</v>
      </c>
      <c r="AF18" s="297"/>
      <c r="AG18" s="271"/>
    </row>
    <row r="19" spans="2:34" ht="13.8" thickBot="1">
      <c r="AC19" s="501">
        <v>9</v>
      </c>
      <c r="AD19" s="232"/>
      <c r="AE19" s="363">
        <v>1</v>
      </c>
      <c r="AF19" s="297"/>
      <c r="AG19" s="271"/>
    </row>
    <row r="20" spans="2:34" ht="14.4" thickTop="1" thickBot="1">
      <c r="B20" s="443" t="s">
        <v>373</v>
      </c>
      <c r="C20" s="443"/>
      <c r="D20" s="443"/>
      <c r="E20" s="443"/>
      <c r="F20" s="443"/>
      <c r="G20" s="443"/>
      <c r="H20" s="443"/>
      <c r="I20" s="443"/>
      <c r="J20" s="443"/>
      <c r="K20" s="444"/>
      <c r="L20" s="444"/>
      <c r="O20" s="443" t="s">
        <v>378</v>
      </c>
      <c r="P20" s="504"/>
      <c r="Q20" s="504"/>
      <c r="R20" s="504"/>
      <c r="S20" s="504"/>
      <c r="T20" s="504"/>
      <c r="AC20" s="502">
        <v>10</v>
      </c>
      <c r="AD20" s="503"/>
      <c r="AE20" s="489">
        <v>1</v>
      </c>
      <c r="AF20" s="454"/>
      <c r="AG20" s="490"/>
    </row>
    <row r="21" spans="2:34" ht="13.8" thickBot="1">
      <c r="B21" s="389"/>
      <c r="C21" s="389"/>
      <c r="D21" s="389"/>
      <c r="E21" s="389"/>
      <c r="F21" s="389"/>
      <c r="G21" s="389"/>
      <c r="H21" s="389"/>
      <c r="I21" s="389"/>
      <c r="J21" s="389"/>
      <c r="K21" s="445"/>
      <c r="L21" s="445"/>
      <c r="O21" s="505"/>
      <c r="P21" s="505"/>
      <c r="Q21" s="505"/>
      <c r="R21" s="505"/>
      <c r="S21" s="505"/>
      <c r="T21" s="505"/>
    </row>
    <row r="22" spans="2:34">
      <c r="B22" s="485" t="s">
        <v>62</v>
      </c>
      <c r="C22" s="485"/>
      <c r="D22" s="486"/>
      <c r="E22" s="446" t="s">
        <v>176</v>
      </c>
      <c r="F22" s="446"/>
      <c r="G22" s="446"/>
      <c r="H22" s="446"/>
      <c r="I22" s="446"/>
      <c r="J22" s="446"/>
      <c r="K22" s="447"/>
      <c r="L22" s="249"/>
      <c r="O22" s="104" t="s">
        <v>187</v>
      </c>
      <c r="P22" s="43" t="s">
        <v>346</v>
      </c>
      <c r="Q22" s="43" t="s">
        <v>188</v>
      </c>
      <c r="R22" s="43" t="s">
        <v>189</v>
      </c>
      <c r="S22" s="43" t="s">
        <v>190</v>
      </c>
      <c r="T22" s="105" t="s">
        <v>191</v>
      </c>
    </row>
    <row r="23" spans="2:34">
      <c r="B23" s="487"/>
      <c r="C23" s="487"/>
      <c r="D23" s="488"/>
      <c r="E23" s="448" t="s">
        <v>60</v>
      </c>
      <c r="F23" s="448"/>
      <c r="G23" s="448"/>
      <c r="H23" s="298"/>
      <c r="I23" s="380" t="s">
        <v>61</v>
      </c>
      <c r="J23" s="298"/>
      <c r="K23" s="298"/>
      <c r="L23" s="294"/>
      <c r="O23" s="106">
        <v>1.18</v>
      </c>
      <c r="P23" s="12">
        <v>1.1499999999999999</v>
      </c>
      <c r="Q23" s="12">
        <v>1.1200000000000001</v>
      </c>
      <c r="R23" s="12">
        <v>1.0900000000000001</v>
      </c>
      <c r="S23" s="12">
        <v>1.05</v>
      </c>
      <c r="T23" s="13">
        <v>1</v>
      </c>
    </row>
    <row r="24" spans="2:34" ht="13.8" thickBot="1">
      <c r="B24" s="460" t="s">
        <v>88</v>
      </c>
      <c r="C24" s="297"/>
      <c r="D24" s="202" t="s">
        <v>86</v>
      </c>
      <c r="E24" s="449" t="s">
        <v>37</v>
      </c>
      <c r="F24" s="289" t="s">
        <v>78</v>
      </c>
      <c r="G24" s="289" t="s">
        <v>183</v>
      </c>
      <c r="H24" s="289" t="s">
        <v>184</v>
      </c>
      <c r="I24" s="449" t="s">
        <v>37</v>
      </c>
      <c r="J24" s="289" t="s">
        <v>78</v>
      </c>
      <c r="K24" s="289" t="s">
        <v>183</v>
      </c>
      <c r="L24" s="455" t="s">
        <v>184</v>
      </c>
    </row>
    <row r="25" spans="2:34" ht="13.8" thickTop="1">
      <c r="B25" s="258"/>
      <c r="C25" s="258"/>
      <c r="D25" s="258"/>
      <c r="E25" s="450"/>
      <c r="F25" s="457"/>
      <c r="G25" s="457"/>
      <c r="H25" s="457"/>
      <c r="I25" s="450"/>
      <c r="J25" s="457"/>
      <c r="K25" s="457"/>
      <c r="L25" s="456"/>
      <c r="AC25" s="493" t="s">
        <v>385</v>
      </c>
      <c r="AD25" s="444"/>
      <c r="AE25" s="444"/>
      <c r="AF25" s="444"/>
    </row>
    <row r="26" spans="2:34">
      <c r="B26" s="458" t="s">
        <v>177</v>
      </c>
      <c r="C26" s="459"/>
      <c r="D26" s="459"/>
      <c r="E26" s="66">
        <v>6.0000000000000001E-3</v>
      </c>
      <c r="F26" s="66">
        <v>1.2999999999999999E-2</v>
      </c>
      <c r="G26" s="66">
        <v>1.7999999999999999E-2</v>
      </c>
      <c r="H26" s="3">
        <v>2E-3</v>
      </c>
      <c r="I26" s="184">
        <v>5.0000000000000001E-3</v>
      </c>
      <c r="J26" s="184">
        <v>4.0000000000000001E-3</v>
      </c>
      <c r="K26" s="184"/>
      <c r="L26" s="189">
        <v>6.0000000000000001E-3</v>
      </c>
      <c r="AC26" s="494"/>
      <c r="AD26" s="494"/>
      <c r="AE26" s="494"/>
      <c r="AF26" s="494"/>
    </row>
    <row r="27" spans="2:34" ht="13.8" thickBot="1">
      <c r="B27" s="458" t="s">
        <v>178</v>
      </c>
      <c r="C27" s="459"/>
      <c r="D27" s="459"/>
      <c r="E27" s="3">
        <v>4.2999999999999997E-2</v>
      </c>
      <c r="F27" s="3">
        <v>2.7E-2</v>
      </c>
      <c r="G27" s="3">
        <v>2.1999999999999999E-2</v>
      </c>
      <c r="H27" s="3">
        <v>5.2999999999999999E-2</v>
      </c>
      <c r="I27" s="184">
        <v>5.5E-2</v>
      </c>
      <c r="J27" s="184">
        <v>0.1</v>
      </c>
      <c r="K27" s="184"/>
      <c r="L27" s="189">
        <v>6.5000000000000002E-2</v>
      </c>
      <c r="AC27" s="445"/>
      <c r="AD27" s="445"/>
      <c r="AE27" s="445"/>
      <c r="AF27" s="445"/>
    </row>
    <row r="28" spans="2:34" ht="13.8" thickBot="1">
      <c r="B28" s="458" t="s">
        <v>179</v>
      </c>
      <c r="C28" s="459"/>
      <c r="D28" s="459"/>
      <c r="E28" s="3">
        <v>0.11600000000000001</v>
      </c>
      <c r="F28" s="3">
        <v>0.16300000000000001</v>
      </c>
      <c r="G28" s="3">
        <v>0.114</v>
      </c>
      <c r="H28" s="3">
        <v>8.7999999999999995E-2</v>
      </c>
      <c r="I28" s="184">
        <v>0.19600000000000001</v>
      </c>
      <c r="J28" s="184">
        <v>0.13300000000000001</v>
      </c>
      <c r="K28" s="184"/>
      <c r="L28" s="189">
        <v>0.193</v>
      </c>
      <c r="AC28" s="406" t="s">
        <v>332</v>
      </c>
      <c r="AD28" s="406"/>
      <c r="AE28" s="406" t="s">
        <v>199</v>
      </c>
      <c r="AF28" s="406"/>
    </row>
    <row r="29" spans="2:34">
      <c r="B29" s="458" t="s">
        <v>180</v>
      </c>
      <c r="C29" s="459"/>
      <c r="D29" s="459"/>
      <c r="E29" s="3">
        <v>4.2999999999999997E-2</v>
      </c>
      <c r="F29" s="3">
        <v>4.8000000000000001E-2</v>
      </c>
      <c r="G29" s="3">
        <v>4.4999999999999998E-2</v>
      </c>
      <c r="H29" s="3">
        <v>4.1000000000000002E-2</v>
      </c>
      <c r="I29" s="184">
        <v>6.5000000000000002E-2</v>
      </c>
      <c r="J29" s="184">
        <v>3.6999999999999998E-2</v>
      </c>
      <c r="K29" s="184"/>
      <c r="L29" s="189">
        <v>6.8000000000000005E-2</v>
      </c>
      <c r="AC29" s="495">
        <v>10</v>
      </c>
      <c r="AD29" s="369"/>
      <c r="AE29" s="492">
        <v>1.04</v>
      </c>
      <c r="AF29" s="376"/>
      <c r="AH29" s="82"/>
    </row>
    <row r="30" spans="2:34">
      <c r="B30" s="458" t="s">
        <v>181</v>
      </c>
      <c r="C30" s="459"/>
      <c r="D30" s="459"/>
      <c r="E30" s="3">
        <v>0.76800000000000002</v>
      </c>
      <c r="F30" s="3">
        <v>0.72699999999999998</v>
      </c>
      <c r="G30" s="3">
        <v>0.77800000000000002</v>
      </c>
      <c r="H30" s="3">
        <v>0.79200000000000004</v>
      </c>
      <c r="I30" s="184">
        <v>0.61299999999999999</v>
      </c>
      <c r="J30" s="184">
        <v>0.68500000000000005</v>
      </c>
      <c r="K30" s="184"/>
      <c r="L30" s="189">
        <v>0.60899999999999999</v>
      </c>
      <c r="AC30" s="467">
        <v>20</v>
      </c>
      <c r="AD30" s="297"/>
      <c r="AE30" s="363">
        <v>1.02</v>
      </c>
      <c r="AF30" s="480"/>
    </row>
    <row r="31" spans="2:34" ht="13.8" thickBot="1">
      <c r="B31" s="453" t="s">
        <v>182</v>
      </c>
      <c r="C31" s="491"/>
      <c r="D31" s="491"/>
      <c r="E31" s="51">
        <v>2.4E-2</v>
      </c>
      <c r="F31" s="51">
        <v>2.1999999999999999E-2</v>
      </c>
      <c r="G31" s="51">
        <v>2.3E-2</v>
      </c>
      <c r="H31" s="51">
        <v>2.4E-2</v>
      </c>
      <c r="I31" s="190">
        <v>6.5000000000000002E-2</v>
      </c>
      <c r="J31" s="190">
        <v>4.1000000000000002E-2</v>
      </c>
      <c r="K31" s="190"/>
      <c r="L31" s="191">
        <v>5.8999999999999997E-2</v>
      </c>
      <c r="AC31" s="467">
        <v>30</v>
      </c>
      <c r="AD31" s="297"/>
      <c r="AE31" s="363">
        <v>1</v>
      </c>
      <c r="AF31" s="480"/>
    </row>
    <row r="32" spans="2:34" ht="14.4" thickTop="1" thickBot="1">
      <c r="B32" s="475" t="s">
        <v>201</v>
      </c>
      <c r="C32" s="476"/>
      <c r="D32" s="476"/>
      <c r="E32" s="83">
        <v>0.5</v>
      </c>
      <c r="F32" s="83"/>
      <c r="G32" s="83"/>
      <c r="H32" s="83"/>
      <c r="I32" s="187">
        <v>0.5</v>
      </c>
      <c r="J32" s="187"/>
      <c r="K32" s="187"/>
      <c r="L32" s="188"/>
      <c r="AC32" s="467">
        <v>40</v>
      </c>
      <c r="AD32" s="297"/>
      <c r="AE32" s="363">
        <v>0.99</v>
      </c>
      <c r="AF32" s="480"/>
    </row>
    <row r="33" spans="2:32">
      <c r="B33" s="333" t="s">
        <v>145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AC33" s="467">
        <v>50</v>
      </c>
      <c r="AD33" s="297"/>
      <c r="AE33" s="363">
        <v>0.97</v>
      </c>
      <c r="AF33" s="480"/>
    </row>
    <row r="34" spans="2:32">
      <c r="B34" s="61"/>
      <c r="E34" s="1"/>
      <c r="F34" s="1"/>
      <c r="G34" s="1"/>
      <c r="H34" s="1"/>
      <c r="I34" s="10"/>
      <c r="J34" s="10"/>
      <c r="K34" s="10"/>
      <c r="L34" s="10"/>
      <c r="AC34" s="467">
        <v>60</v>
      </c>
      <c r="AD34" s="298"/>
      <c r="AE34" s="363">
        <v>0.96</v>
      </c>
      <c r="AF34" s="294"/>
    </row>
    <row r="35" spans="2:32">
      <c r="B35" s="61"/>
      <c r="E35" s="1"/>
      <c r="F35" s="10"/>
      <c r="G35" s="1"/>
      <c r="H35" s="1"/>
      <c r="I35" s="10"/>
      <c r="J35" s="10"/>
      <c r="K35" s="10"/>
      <c r="L35" s="10"/>
      <c r="AC35" s="467">
        <v>70</v>
      </c>
      <c r="AD35" s="298"/>
      <c r="AE35" s="363">
        <v>0.96</v>
      </c>
      <c r="AF35" s="294"/>
    </row>
    <row r="36" spans="2:32" ht="13.8" thickBot="1">
      <c r="AC36" s="467">
        <v>80</v>
      </c>
      <c r="AD36" s="298"/>
      <c r="AE36" s="363">
        <v>0.95</v>
      </c>
      <c r="AF36" s="294"/>
    </row>
    <row r="37" spans="2:32" ht="13.8" thickTop="1">
      <c r="B37" s="443" t="s">
        <v>380</v>
      </c>
      <c r="C37" s="443"/>
      <c r="D37" s="443"/>
      <c r="E37" s="443"/>
      <c r="F37" s="443"/>
      <c r="G37" s="443"/>
      <c r="H37" s="443"/>
      <c r="I37" s="443"/>
      <c r="J37" s="443"/>
      <c r="K37" s="444"/>
      <c r="L37" s="444"/>
      <c r="AC37" s="467">
        <v>90</v>
      </c>
      <c r="AD37" s="298"/>
      <c r="AE37" s="363">
        <v>0.94</v>
      </c>
      <c r="AF37" s="294"/>
    </row>
    <row r="38" spans="2:32" ht="13.8" thickBot="1">
      <c r="B38" s="389"/>
      <c r="C38" s="389"/>
      <c r="D38" s="389"/>
      <c r="E38" s="389"/>
      <c r="F38" s="389"/>
      <c r="G38" s="389"/>
      <c r="H38" s="389"/>
      <c r="I38" s="389"/>
      <c r="J38" s="389"/>
      <c r="K38" s="445"/>
      <c r="L38" s="445"/>
      <c r="AC38" s="496">
        <v>100</v>
      </c>
      <c r="AD38" s="367"/>
      <c r="AE38" s="489">
        <v>0.94</v>
      </c>
      <c r="AF38" s="303"/>
    </row>
    <row r="39" spans="2:32">
      <c r="B39" s="506" t="s">
        <v>83</v>
      </c>
      <c r="C39" s="507"/>
      <c r="D39" s="507"/>
      <c r="E39" s="465" t="s">
        <v>60</v>
      </c>
      <c r="F39" s="465"/>
      <c r="G39" s="465"/>
      <c r="H39" s="465"/>
      <c r="I39" s="465" t="s">
        <v>61</v>
      </c>
      <c r="J39" s="447"/>
      <c r="K39" s="447"/>
      <c r="L39" s="249"/>
      <c r="AC39" s="82"/>
      <c r="AF39" s="30"/>
    </row>
    <row r="40" spans="2:32">
      <c r="B40" s="379"/>
      <c r="C40" s="378"/>
      <c r="D40" s="378"/>
      <c r="E40" s="466" t="s">
        <v>192</v>
      </c>
      <c r="F40" s="315"/>
      <c r="G40" s="466" t="s">
        <v>82</v>
      </c>
      <c r="H40" s="319"/>
      <c r="I40" s="466" t="s">
        <v>192</v>
      </c>
      <c r="J40" s="315"/>
      <c r="K40" s="466" t="s">
        <v>82</v>
      </c>
      <c r="L40" s="318"/>
      <c r="AC40" s="26"/>
    </row>
    <row r="41" spans="2:32">
      <c r="B41" s="460" t="s">
        <v>88</v>
      </c>
      <c r="C41" s="297"/>
      <c r="D41" s="201" t="s">
        <v>87</v>
      </c>
      <c r="E41" s="315"/>
      <c r="F41" s="315"/>
      <c r="G41" s="319"/>
      <c r="H41" s="319"/>
      <c r="I41" s="315"/>
      <c r="J41" s="315"/>
      <c r="K41" s="319"/>
      <c r="L41" s="318"/>
    </row>
    <row r="42" spans="2:32">
      <c r="B42" s="379"/>
      <c r="C42" s="298"/>
      <c r="D42" s="298"/>
      <c r="E42" s="319"/>
      <c r="F42" s="319"/>
      <c r="G42" s="319"/>
      <c r="H42" s="319"/>
      <c r="I42" s="319"/>
      <c r="J42" s="319"/>
      <c r="K42" s="319"/>
      <c r="L42" s="318"/>
    </row>
    <row r="43" spans="2:32">
      <c r="B43" s="259"/>
      <c r="C43" s="298"/>
      <c r="D43" s="298"/>
      <c r="E43" s="461" t="s">
        <v>193</v>
      </c>
      <c r="F43" s="461" t="s">
        <v>194</v>
      </c>
      <c r="G43" s="461" t="s">
        <v>195</v>
      </c>
      <c r="H43" s="462"/>
      <c r="I43" s="461" t="s">
        <v>193</v>
      </c>
      <c r="J43" s="461" t="s">
        <v>194</v>
      </c>
      <c r="K43" s="461" t="s">
        <v>195</v>
      </c>
      <c r="L43" s="498"/>
    </row>
    <row r="44" spans="2:32">
      <c r="B44" s="259"/>
      <c r="C44" s="298"/>
      <c r="D44" s="298"/>
      <c r="E44" s="462"/>
      <c r="F44" s="462"/>
      <c r="G44" s="462"/>
      <c r="H44" s="462"/>
      <c r="I44" s="462"/>
      <c r="J44" s="462"/>
      <c r="K44" s="462"/>
      <c r="L44" s="498"/>
    </row>
    <row r="45" spans="2:32" ht="13.8" thickBot="1">
      <c r="B45" s="453" t="s">
        <v>196</v>
      </c>
      <c r="C45" s="454"/>
      <c r="D45" s="454"/>
      <c r="E45" s="78">
        <v>0.36099999999999999</v>
      </c>
      <c r="F45" s="78">
        <v>0.63900000000000001</v>
      </c>
      <c r="G45" s="497">
        <v>0.255</v>
      </c>
      <c r="H45" s="454"/>
      <c r="I45" s="190"/>
      <c r="J45" s="190"/>
      <c r="K45" s="499"/>
      <c r="L45" s="500"/>
    </row>
    <row r="46" spans="2:32">
      <c r="B46" s="70"/>
      <c r="C46" s="71"/>
      <c r="D46" s="71"/>
      <c r="E46" s="72"/>
      <c r="F46" s="36"/>
      <c r="G46" s="36"/>
      <c r="H46" s="36"/>
      <c r="I46" s="36"/>
      <c r="J46" s="36"/>
      <c r="K46" s="36"/>
      <c r="L46" s="36"/>
    </row>
    <row r="47" spans="2:32">
      <c r="B47" s="70"/>
      <c r="C47" s="71"/>
      <c r="D47" s="71"/>
      <c r="G47" s="36"/>
      <c r="H47" s="36"/>
      <c r="I47" s="36"/>
      <c r="J47" s="36"/>
      <c r="K47" s="36"/>
      <c r="L47" s="36"/>
    </row>
    <row r="48" spans="2:32" ht="13.8" thickBot="1"/>
    <row r="49" spans="2:26" ht="13.8" thickTop="1">
      <c r="B49" s="443" t="s">
        <v>387</v>
      </c>
      <c r="C49" s="443"/>
      <c r="D49" s="443"/>
      <c r="E49" s="443"/>
      <c r="F49" s="443"/>
      <c r="G49" s="443"/>
      <c r="H49" s="443"/>
      <c r="I49" s="443"/>
      <c r="J49" s="443"/>
      <c r="K49" s="444"/>
      <c r="L49" s="444"/>
    </row>
    <row r="50" spans="2:26" ht="13.8" thickBot="1">
      <c r="B50" s="389"/>
      <c r="C50" s="389"/>
      <c r="D50" s="389"/>
      <c r="E50" s="389"/>
      <c r="F50" s="389"/>
      <c r="G50" s="389"/>
      <c r="H50" s="389"/>
      <c r="I50" s="389"/>
      <c r="J50" s="389"/>
      <c r="K50" s="445"/>
      <c r="L50" s="445"/>
    </row>
    <row r="51" spans="2:26">
      <c r="B51" s="506" t="s">
        <v>83</v>
      </c>
      <c r="C51" s="507"/>
      <c r="D51" s="507"/>
      <c r="E51" s="465" t="s">
        <v>60</v>
      </c>
      <c r="F51" s="465"/>
      <c r="G51" s="465"/>
      <c r="H51" s="465"/>
      <c r="I51" s="465" t="s">
        <v>61</v>
      </c>
      <c r="J51" s="447"/>
      <c r="K51" s="447"/>
      <c r="L51" s="249"/>
    </row>
    <row r="52" spans="2:26">
      <c r="B52" s="379"/>
      <c r="C52" s="378"/>
      <c r="D52" s="378"/>
      <c r="E52" s="466" t="s">
        <v>192</v>
      </c>
      <c r="F52" s="315"/>
      <c r="G52" s="466" t="s">
        <v>82</v>
      </c>
      <c r="H52" s="319"/>
      <c r="I52" s="466" t="s">
        <v>192</v>
      </c>
      <c r="J52" s="315"/>
      <c r="K52" s="466" t="s">
        <v>82</v>
      </c>
      <c r="L52" s="318"/>
      <c r="U52" s="103"/>
      <c r="V52" s="103"/>
      <c r="W52" s="103"/>
      <c r="X52" s="103"/>
      <c r="Y52" s="17"/>
      <c r="Z52" s="17"/>
    </row>
    <row r="53" spans="2:26">
      <c r="B53" s="460" t="s">
        <v>88</v>
      </c>
      <c r="C53" s="297"/>
      <c r="D53" s="201" t="s">
        <v>87</v>
      </c>
      <c r="E53" s="315"/>
      <c r="F53" s="315"/>
      <c r="G53" s="319"/>
      <c r="H53" s="319"/>
      <c r="I53" s="315"/>
      <c r="J53" s="315"/>
      <c r="K53" s="319"/>
      <c r="L53" s="318"/>
      <c r="U53" s="103"/>
      <c r="V53" s="103"/>
      <c r="W53" s="103"/>
      <c r="X53" s="103"/>
      <c r="Y53" s="17"/>
      <c r="Z53" s="17"/>
    </row>
    <row r="54" spans="2:26">
      <c r="B54" s="379"/>
      <c r="C54" s="298"/>
      <c r="D54" s="298"/>
      <c r="E54" s="319"/>
      <c r="F54" s="319"/>
      <c r="G54" s="319"/>
      <c r="H54" s="319"/>
      <c r="I54" s="319"/>
      <c r="J54" s="319"/>
      <c r="K54" s="319"/>
      <c r="L54" s="318"/>
    </row>
    <row r="55" spans="2:26">
      <c r="B55" s="259"/>
      <c r="C55" s="298"/>
      <c r="D55" s="298"/>
      <c r="E55" s="461" t="s">
        <v>193</v>
      </c>
      <c r="F55" s="461" t="s">
        <v>194</v>
      </c>
      <c r="G55" s="461" t="s">
        <v>195</v>
      </c>
      <c r="H55" s="462"/>
      <c r="I55" s="461" t="s">
        <v>193</v>
      </c>
      <c r="J55" s="461" t="s">
        <v>194</v>
      </c>
      <c r="K55" s="461" t="s">
        <v>195</v>
      </c>
      <c r="L55" s="498"/>
    </row>
    <row r="56" spans="2:26">
      <c r="B56" s="259"/>
      <c r="C56" s="298"/>
      <c r="D56" s="298"/>
      <c r="E56" s="462"/>
      <c r="F56" s="462"/>
      <c r="G56" s="462"/>
      <c r="H56" s="462"/>
      <c r="I56" s="462"/>
      <c r="J56" s="462"/>
      <c r="K56" s="462"/>
      <c r="L56" s="498"/>
      <c r="M56" s="46"/>
    </row>
    <row r="57" spans="2:26" ht="13.8" thickBot="1">
      <c r="B57" s="453" t="s">
        <v>200</v>
      </c>
      <c r="C57" s="454"/>
      <c r="D57" s="454"/>
      <c r="E57" s="78">
        <v>0.32300000000000001</v>
      </c>
      <c r="F57" s="78">
        <v>0.67700000000000005</v>
      </c>
      <c r="G57" s="497">
        <v>0.42599999999999999</v>
      </c>
      <c r="H57" s="454"/>
      <c r="I57" s="190"/>
      <c r="J57" s="190"/>
      <c r="K57" s="499"/>
      <c r="L57" s="500"/>
    </row>
    <row r="58" spans="2:26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60" spans="2:26" ht="13.8" thickBot="1"/>
    <row r="61" spans="2:26" ht="14.4" thickTop="1" thickBot="1">
      <c r="B61" s="419" t="s">
        <v>472</v>
      </c>
      <c r="C61" s="419"/>
      <c r="D61" s="419"/>
      <c r="E61" s="419"/>
      <c r="F61" s="419"/>
      <c r="H61" s="419" t="s">
        <v>473</v>
      </c>
      <c r="I61" s="419"/>
      <c r="J61" s="419"/>
      <c r="K61" s="419"/>
      <c r="L61" s="419"/>
    </row>
    <row r="62" spans="2:26" ht="13.8" thickBot="1">
      <c r="B62" s="440" t="s">
        <v>88</v>
      </c>
      <c r="C62" s="440"/>
      <c r="D62" s="200" t="s">
        <v>86</v>
      </c>
      <c r="E62" s="441"/>
      <c r="F62" s="442"/>
      <c r="H62" s="440" t="s">
        <v>88</v>
      </c>
      <c r="I62" s="440"/>
      <c r="J62" s="200" t="s">
        <v>86</v>
      </c>
      <c r="K62" s="441"/>
      <c r="L62" s="442"/>
    </row>
    <row r="63" spans="2:26">
      <c r="B63" s="8" t="s">
        <v>437</v>
      </c>
      <c r="C63" s="144" t="s">
        <v>137</v>
      </c>
      <c r="D63" s="29" t="s">
        <v>138</v>
      </c>
      <c r="E63" s="29" t="s">
        <v>139</v>
      </c>
      <c r="F63" s="29" t="s">
        <v>459</v>
      </c>
      <c r="H63" s="8" t="s">
        <v>437</v>
      </c>
      <c r="I63" s="144" t="s">
        <v>137</v>
      </c>
      <c r="J63" s="29" t="s">
        <v>138</v>
      </c>
      <c r="K63" s="29" t="s">
        <v>139</v>
      </c>
      <c r="L63" s="29" t="s">
        <v>459</v>
      </c>
    </row>
    <row r="64" spans="2:26">
      <c r="B64" s="26" t="s">
        <v>37</v>
      </c>
      <c r="C64" s="126">
        <v>-9.6530000000000005</v>
      </c>
      <c r="D64" s="36">
        <v>1.1759999999999999</v>
      </c>
      <c r="E64" s="36">
        <v>1.675</v>
      </c>
      <c r="F64" s="41" t="s">
        <v>15</v>
      </c>
      <c r="H64" s="26" t="s">
        <v>37</v>
      </c>
      <c r="I64" s="126">
        <v>-9.0250000000000004</v>
      </c>
      <c r="J64" s="36">
        <v>1.0489999999999999</v>
      </c>
      <c r="K64" s="36">
        <v>1.5489999999999999</v>
      </c>
      <c r="L64" s="41" t="s">
        <v>15</v>
      </c>
    </row>
    <row r="65" spans="2:27">
      <c r="B65" t="s">
        <v>38</v>
      </c>
      <c r="C65" s="126">
        <v>-9.41</v>
      </c>
      <c r="D65" s="36">
        <v>1.0940000000000001</v>
      </c>
      <c r="E65" s="36">
        <v>1.796</v>
      </c>
      <c r="F65" s="41" t="s">
        <v>15</v>
      </c>
      <c r="H65" t="s">
        <v>38</v>
      </c>
      <c r="I65" s="126">
        <v>-8.8369999999999997</v>
      </c>
      <c r="J65" s="36">
        <v>0.95799999999999996</v>
      </c>
      <c r="K65" s="36">
        <v>1.6870000000000001</v>
      </c>
      <c r="L65" s="41" t="s">
        <v>15</v>
      </c>
    </row>
    <row r="66" spans="2:27" ht="16.2" thickBot="1">
      <c r="B66" s="119" t="s">
        <v>436</v>
      </c>
      <c r="C66" s="127">
        <v>-8.577</v>
      </c>
      <c r="D66" s="125">
        <v>0.93799999999999994</v>
      </c>
      <c r="E66" s="125">
        <v>2.0030000000000001</v>
      </c>
      <c r="F66" s="142" t="s">
        <v>15</v>
      </c>
      <c r="H66" s="119" t="s">
        <v>436</v>
      </c>
      <c r="I66" s="127">
        <v>-8.5050000000000008</v>
      </c>
      <c r="J66" s="125">
        <v>0.874</v>
      </c>
      <c r="K66" s="125">
        <v>1.74</v>
      </c>
      <c r="L66" s="142" t="s">
        <v>15</v>
      </c>
      <c r="W66" s="18"/>
      <c r="X66" s="18"/>
      <c r="Y66" s="18"/>
      <c r="Z66" s="18"/>
      <c r="AA66" s="18"/>
    </row>
    <row r="67" spans="2:27" ht="13.8" thickBot="1">
      <c r="B67" s="143" t="s">
        <v>85</v>
      </c>
      <c r="C67" s="192">
        <v>-10.02</v>
      </c>
      <c r="D67" s="193">
        <v>1.1759999999999999</v>
      </c>
      <c r="E67" s="193" t="s">
        <v>15</v>
      </c>
      <c r="F67" s="193">
        <v>0.65900000000000003</v>
      </c>
      <c r="H67" s="143" t="s">
        <v>85</v>
      </c>
      <c r="I67" s="192">
        <v>-7.5090000000000003</v>
      </c>
      <c r="J67" s="193">
        <v>0.89400000000000002</v>
      </c>
      <c r="K67" s="193" t="s">
        <v>15</v>
      </c>
      <c r="L67" s="193">
        <v>0.61099999999999999</v>
      </c>
    </row>
    <row r="68" spans="2:27">
      <c r="B68" s="71"/>
      <c r="C68" s="71"/>
      <c r="D68" s="71"/>
      <c r="E68" s="71"/>
      <c r="F68" s="71"/>
    </row>
    <row r="70" spans="2:27" ht="13.8" thickBot="1">
      <c r="H70" s="36"/>
      <c r="I70" s="36"/>
      <c r="J70" s="36"/>
    </row>
    <row r="71" spans="2:27" ht="14.4" thickTop="1" thickBot="1">
      <c r="B71" s="419" t="s">
        <v>448</v>
      </c>
      <c r="C71" s="419"/>
      <c r="D71" s="419"/>
      <c r="E71" s="419"/>
      <c r="F71" s="419"/>
      <c r="G71" s="419"/>
      <c r="H71" s="419"/>
      <c r="I71" s="36"/>
      <c r="K71" s="419" t="s">
        <v>500</v>
      </c>
      <c r="L71" s="419"/>
    </row>
    <row r="72" spans="2:27">
      <c r="B72" s="406" t="s">
        <v>47</v>
      </c>
      <c r="C72" s="406"/>
      <c r="D72" s="407"/>
      <c r="E72" s="393" t="s">
        <v>445</v>
      </c>
      <c r="F72" s="410"/>
      <c r="G72" s="410"/>
      <c r="H72" s="410"/>
      <c r="I72" s="36"/>
      <c r="K72" s="120" t="s">
        <v>474</v>
      </c>
      <c r="L72" s="146" t="s">
        <v>428</v>
      </c>
    </row>
    <row r="73" spans="2:27" ht="13.8" thickBot="1">
      <c r="B73" s="420"/>
      <c r="C73" s="420"/>
      <c r="D73" s="421"/>
      <c r="E73" s="417" t="s">
        <v>447</v>
      </c>
      <c r="F73" s="418"/>
      <c r="G73" s="415" t="s">
        <v>446</v>
      </c>
      <c r="H73" s="416"/>
      <c r="I73" s="46"/>
      <c r="K73" s="26" t="s">
        <v>449</v>
      </c>
      <c r="L73" s="117" t="s">
        <v>449</v>
      </c>
    </row>
    <row r="74" spans="2:27">
      <c r="B74" s="434" t="s">
        <v>438</v>
      </c>
      <c r="C74" s="435"/>
      <c r="D74" s="435"/>
      <c r="E74" s="428">
        <v>2</v>
      </c>
      <c r="F74" s="428"/>
      <c r="G74" s="428">
        <v>1.9</v>
      </c>
      <c r="H74" s="429"/>
      <c r="I74" s="1"/>
      <c r="K74" s="26" t="s">
        <v>475</v>
      </c>
      <c r="L74" s="114" t="s">
        <v>432</v>
      </c>
    </row>
    <row r="75" spans="2:27">
      <c r="B75" s="436" t="s">
        <v>439</v>
      </c>
      <c r="C75" s="437"/>
      <c r="D75" s="437"/>
      <c r="E75" s="430">
        <v>6.7</v>
      </c>
      <c r="F75" s="430"/>
      <c r="G75" s="430">
        <v>4.8</v>
      </c>
      <c r="H75" s="431"/>
      <c r="K75" t="s">
        <v>476</v>
      </c>
      <c r="L75" s="114" t="s">
        <v>432</v>
      </c>
    </row>
    <row r="76" spans="2:27">
      <c r="B76" s="436" t="s">
        <v>440</v>
      </c>
      <c r="C76" s="437"/>
      <c r="D76" s="437"/>
      <c r="E76" s="430">
        <v>12</v>
      </c>
      <c r="F76" s="430"/>
      <c r="G76" s="430">
        <v>12.4</v>
      </c>
      <c r="H76" s="431"/>
      <c r="K76" t="s">
        <v>480</v>
      </c>
      <c r="L76" s="114" t="s">
        <v>430</v>
      </c>
    </row>
    <row r="77" spans="2:27" ht="13.8" thickBot="1">
      <c r="B77" s="438" t="s">
        <v>441</v>
      </c>
      <c r="C77" s="439"/>
      <c r="D77" s="439"/>
      <c r="E77" s="422">
        <v>9.3000000000000007</v>
      </c>
      <c r="F77" s="422"/>
      <c r="G77" s="422">
        <v>11.8</v>
      </c>
      <c r="H77" s="423"/>
      <c r="K77" t="s">
        <v>477</v>
      </c>
      <c r="L77" s="114" t="s">
        <v>431</v>
      </c>
    </row>
    <row r="78" spans="2:27" ht="13.8" thickTop="1">
      <c r="B78" s="451" t="s">
        <v>442</v>
      </c>
      <c r="C78" s="452"/>
      <c r="D78" s="452"/>
      <c r="E78" s="424">
        <f>SUM(E74:F77)</f>
        <v>30</v>
      </c>
      <c r="F78" s="424"/>
      <c r="G78" s="424">
        <f>SUM(G74:H77)</f>
        <v>30.900000000000002</v>
      </c>
      <c r="H78" s="425"/>
      <c r="K78" t="s">
        <v>478</v>
      </c>
      <c r="L78" s="114" t="s">
        <v>429</v>
      </c>
    </row>
    <row r="79" spans="2:27" ht="13.8" thickBot="1">
      <c r="B79" s="438" t="s">
        <v>443</v>
      </c>
      <c r="C79" s="439"/>
      <c r="D79" s="439"/>
      <c r="E79" s="426">
        <f>100-E78</f>
        <v>70</v>
      </c>
      <c r="F79" s="426"/>
      <c r="G79" s="426">
        <f>100-G78</f>
        <v>69.099999999999994</v>
      </c>
      <c r="H79" s="427"/>
      <c r="K79" t="s">
        <v>479</v>
      </c>
      <c r="L79" s="114" t="s">
        <v>430</v>
      </c>
    </row>
    <row r="80" spans="2:27" ht="14.4" thickTop="1" thickBot="1">
      <c r="B80" s="432" t="s">
        <v>444</v>
      </c>
      <c r="C80" s="433"/>
      <c r="D80" s="433"/>
      <c r="E80" s="413">
        <f>SUM(E78:F79)</f>
        <v>100</v>
      </c>
      <c r="F80" s="413"/>
      <c r="G80" s="413">
        <f>SUM(G78:H79)</f>
        <v>100</v>
      </c>
      <c r="H80" s="414"/>
      <c r="K80" t="s">
        <v>481</v>
      </c>
      <c r="L80" s="114" t="s">
        <v>429</v>
      </c>
    </row>
    <row r="81" spans="2:27">
      <c r="K81" t="s">
        <v>496</v>
      </c>
      <c r="L81" s="114" t="s">
        <v>432</v>
      </c>
    </row>
    <row r="82" spans="2:27">
      <c r="K82" t="s">
        <v>482</v>
      </c>
      <c r="L82" s="114" t="s">
        <v>431</v>
      </c>
    </row>
    <row r="83" spans="2:27" ht="13.8" thickBot="1">
      <c r="K83" t="s">
        <v>483</v>
      </c>
      <c r="L83" s="114" t="s">
        <v>430</v>
      </c>
    </row>
    <row r="84" spans="2:27" ht="14.4" thickTop="1" thickBot="1">
      <c r="B84" s="419" t="s">
        <v>435</v>
      </c>
      <c r="C84" s="419"/>
      <c r="D84" s="419"/>
      <c r="K84" t="s">
        <v>484</v>
      </c>
      <c r="L84" s="114" t="s">
        <v>432</v>
      </c>
      <c r="W84" s="80"/>
      <c r="X84" s="80"/>
      <c r="Y84" s="80"/>
      <c r="Z84" s="80"/>
      <c r="AA84" s="80"/>
    </row>
    <row r="85" spans="2:27">
      <c r="B85" s="116"/>
      <c r="C85" s="115" t="s">
        <v>174</v>
      </c>
      <c r="D85" s="120" t="s">
        <v>173</v>
      </c>
      <c r="I85" s="36"/>
      <c r="J85" s="36"/>
      <c r="K85" t="s">
        <v>492</v>
      </c>
      <c r="L85" s="114" t="s">
        <v>430</v>
      </c>
    </row>
    <row r="86" spans="2:27">
      <c r="B86" s="26" t="s">
        <v>449</v>
      </c>
      <c r="C86" s="136">
        <v>1</v>
      </c>
      <c r="D86" s="30">
        <v>1</v>
      </c>
      <c r="K86" s="145" t="s">
        <v>485</v>
      </c>
      <c r="L86" s="147" t="s">
        <v>429</v>
      </c>
    </row>
    <row r="87" spans="2:27">
      <c r="B87" t="s">
        <v>429</v>
      </c>
      <c r="C87" s="196">
        <v>1.2073643244914882</v>
      </c>
      <c r="D87" s="197">
        <v>0.98024820142421987</v>
      </c>
      <c r="K87" t="s">
        <v>486</v>
      </c>
      <c r="L87" s="114" t="s">
        <v>431</v>
      </c>
    </row>
    <row r="88" spans="2:27">
      <c r="B88" t="s">
        <v>430</v>
      </c>
      <c r="C88" s="196">
        <v>0.90978847505464766</v>
      </c>
      <c r="D88" s="197">
        <v>0.95571998527193947</v>
      </c>
      <c r="K88" t="s">
        <v>497</v>
      </c>
      <c r="L88" s="114" t="s">
        <v>432</v>
      </c>
    </row>
    <row r="89" spans="2:27">
      <c r="B89" t="s">
        <v>431</v>
      </c>
      <c r="C89" s="196">
        <v>0.90440999474321082</v>
      </c>
      <c r="D89" s="197">
        <v>1.1335670458327229</v>
      </c>
      <c r="K89" t="s">
        <v>487</v>
      </c>
      <c r="L89" s="114" t="s">
        <v>429</v>
      </c>
    </row>
    <row r="90" spans="2:27" ht="13.8" thickBot="1">
      <c r="B90" s="118" t="s">
        <v>432</v>
      </c>
      <c r="C90" s="198">
        <v>0.79364063128596096</v>
      </c>
      <c r="D90" s="199">
        <v>0.76614752121527785</v>
      </c>
      <c r="K90" t="s">
        <v>498</v>
      </c>
      <c r="L90" s="114" t="s">
        <v>432</v>
      </c>
    </row>
    <row r="91" spans="2:27">
      <c r="K91" t="s">
        <v>488</v>
      </c>
      <c r="L91" s="114" t="s">
        <v>430</v>
      </c>
    </row>
    <row r="92" spans="2:27">
      <c r="K92" t="s">
        <v>489</v>
      </c>
      <c r="L92" s="114" t="s">
        <v>431</v>
      </c>
    </row>
    <row r="93" spans="2:27">
      <c r="K93" t="s">
        <v>490</v>
      </c>
      <c r="L93" s="114" t="s">
        <v>432</v>
      </c>
    </row>
    <row r="94" spans="2:27">
      <c r="K94" t="s">
        <v>491</v>
      </c>
      <c r="L94" s="114" t="s">
        <v>431</v>
      </c>
    </row>
    <row r="95" spans="2:27">
      <c r="K95" t="s">
        <v>493</v>
      </c>
      <c r="L95" s="114" t="s">
        <v>430</v>
      </c>
    </row>
    <row r="96" spans="2:27">
      <c r="K96" t="s">
        <v>494</v>
      </c>
      <c r="L96" s="114" t="s">
        <v>430</v>
      </c>
    </row>
    <row r="97" spans="11:12">
      <c r="K97" t="s">
        <v>495</v>
      </c>
      <c r="L97" s="114" t="s">
        <v>430</v>
      </c>
    </row>
    <row r="98" spans="11:12" ht="13.8" thickBot="1">
      <c r="K98" s="118" t="s">
        <v>499</v>
      </c>
      <c r="L98" s="148" t="s">
        <v>431</v>
      </c>
    </row>
  </sheetData>
  <sheetProtection sheet="1" objects="1" scenarios="1"/>
  <mergeCells count="171">
    <mergeCell ref="K71:L71"/>
    <mergeCell ref="B49:L50"/>
    <mergeCell ref="B33:L33"/>
    <mergeCell ref="B32:D32"/>
    <mergeCell ref="J43:J44"/>
    <mergeCell ref="K43:L44"/>
    <mergeCell ref="K45:L45"/>
    <mergeCell ref="I40:J42"/>
    <mergeCell ref="B37:L38"/>
    <mergeCell ref="B39:D40"/>
    <mergeCell ref="E39:H39"/>
    <mergeCell ref="I55:I56"/>
    <mergeCell ref="J55:J56"/>
    <mergeCell ref="B51:D52"/>
    <mergeCell ref="E51:H51"/>
    <mergeCell ref="I51:L51"/>
    <mergeCell ref="E52:F54"/>
    <mergeCell ref="G52:H54"/>
    <mergeCell ref="I52:J54"/>
    <mergeCell ref="K52:L54"/>
    <mergeCell ref="B53:C53"/>
    <mergeCell ref="G45:H45"/>
    <mergeCell ref="E43:E44"/>
    <mergeCell ref="F43:F44"/>
    <mergeCell ref="AE13:AG13"/>
    <mergeCell ref="AE14:AG14"/>
    <mergeCell ref="AE18:AG18"/>
    <mergeCell ref="AE15:AG15"/>
    <mergeCell ref="AE16:AG16"/>
    <mergeCell ref="AE17:AG17"/>
    <mergeCell ref="B57:D57"/>
    <mergeCell ref="G57:H57"/>
    <mergeCell ref="K55:L56"/>
    <mergeCell ref="K57:L57"/>
    <mergeCell ref="AC13:AD13"/>
    <mergeCell ref="AC19:AD19"/>
    <mergeCell ref="AC20:AD20"/>
    <mergeCell ref="I43:I44"/>
    <mergeCell ref="AC15:AD15"/>
    <mergeCell ref="B54:D56"/>
    <mergeCell ref="O20:T21"/>
    <mergeCell ref="AC14:AD14"/>
    <mergeCell ref="E55:E56"/>
    <mergeCell ref="F55:F56"/>
    <mergeCell ref="G55:H56"/>
    <mergeCell ref="AC35:AD35"/>
    <mergeCell ref="AC17:AD17"/>
    <mergeCell ref="AC18:AD18"/>
    <mergeCell ref="AE37:AF37"/>
    <mergeCell ref="AC38:AD38"/>
    <mergeCell ref="AE38:AF38"/>
    <mergeCell ref="AE33:AF33"/>
    <mergeCell ref="AC34:AD34"/>
    <mergeCell ref="AE34:AF34"/>
    <mergeCell ref="AE35:AF35"/>
    <mergeCell ref="AC36:AD36"/>
    <mergeCell ref="AE36:AF36"/>
    <mergeCell ref="AC37:AD37"/>
    <mergeCell ref="AC33:AD33"/>
    <mergeCell ref="AE19:AG19"/>
    <mergeCell ref="AE20:AG20"/>
    <mergeCell ref="AC31:AD31"/>
    <mergeCell ref="AE31:AF31"/>
    <mergeCell ref="B29:D29"/>
    <mergeCell ref="B31:D31"/>
    <mergeCell ref="B30:D30"/>
    <mergeCell ref="H24:H25"/>
    <mergeCell ref="AE32:AF32"/>
    <mergeCell ref="AE29:AF29"/>
    <mergeCell ref="AC30:AD30"/>
    <mergeCell ref="AE30:AF30"/>
    <mergeCell ref="I24:I25"/>
    <mergeCell ref="J24:J25"/>
    <mergeCell ref="K24:K25"/>
    <mergeCell ref="G24:G25"/>
    <mergeCell ref="B24:C24"/>
    <mergeCell ref="F24:F25"/>
    <mergeCell ref="B26:D26"/>
    <mergeCell ref="E23:H23"/>
    <mergeCell ref="I23:L23"/>
    <mergeCell ref="B22:D23"/>
    <mergeCell ref="AC25:AF27"/>
    <mergeCell ref="AC29:AD29"/>
    <mergeCell ref="AC16:AD16"/>
    <mergeCell ref="AC12:AD12"/>
    <mergeCell ref="AC32:AD32"/>
    <mergeCell ref="O14:Z15"/>
    <mergeCell ref="O6:Z7"/>
    <mergeCell ref="O8:O9"/>
    <mergeCell ref="P8:Z8"/>
    <mergeCell ref="B12:D12"/>
    <mergeCell ref="B11:D11"/>
    <mergeCell ref="AC11:AD11"/>
    <mergeCell ref="AC10:AD10"/>
    <mergeCell ref="AC6:AG7"/>
    <mergeCell ref="B16:L16"/>
    <mergeCell ref="B15:D15"/>
    <mergeCell ref="AC8:AD9"/>
    <mergeCell ref="AE10:AG10"/>
    <mergeCell ref="AE11:AG11"/>
    <mergeCell ref="AE12:AG12"/>
    <mergeCell ref="AE8:AG9"/>
    <mergeCell ref="E24:E25"/>
    <mergeCell ref="L24:L25"/>
    <mergeCell ref="AC28:AD28"/>
    <mergeCell ref="AE28:AF28"/>
    <mergeCell ref="B5:D6"/>
    <mergeCell ref="B8:D8"/>
    <mergeCell ref="B7:C7"/>
    <mergeCell ref="I7:I8"/>
    <mergeCell ref="G43:H44"/>
    <mergeCell ref="B41:C41"/>
    <mergeCell ref="B28:D28"/>
    <mergeCell ref="E22:L22"/>
    <mergeCell ref="F7:F8"/>
    <mergeCell ref="B13:D13"/>
    <mergeCell ref="B10:D10"/>
    <mergeCell ref="B14:D14"/>
    <mergeCell ref="G7:G8"/>
    <mergeCell ref="B27:D27"/>
    <mergeCell ref="J7:J8"/>
    <mergeCell ref="K7:K8"/>
    <mergeCell ref="I39:L39"/>
    <mergeCell ref="E40:F42"/>
    <mergeCell ref="G40:H42"/>
    <mergeCell ref="K40:L42"/>
    <mergeCell ref="B84:D84"/>
    <mergeCell ref="B62:C62"/>
    <mergeCell ref="E62:F62"/>
    <mergeCell ref="B61:F61"/>
    <mergeCell ref="E80:F80"/>
    <mergeCell ref="B3:L4"/>
    <mergeCell ref="E5:L5"/>
    <mergeCell ref="I6:L6"/>
    <mergeCell ref="E6:H6"/>
    <mergeCell ref="E7:E8"/>
    <mergeCell ref="E76:F76"/>
    <mergeCell ref="G76:H76"/>
    <mergeCell ref="B78:D78"/>
    <mergeCell ref="B79:D79"/>
    <mergeCell ref="H61:L61"/>
    <mergeCell ref="H62:I62"/>
    <mergeCell ref="K62:L62"/>
    <mergeCell ref="B45:D45"/>
    <mergeCell ref="B42:D44"/>
    <mergeCell ref="B20:L21"/>
    <mergeCell ref="B25:D25"/>
    <mergeCell ref="L7:L8"/>
    <mergeCell ref="H7:H8"/>
    <mergeCell ref="B9:D9"/>
    <mergeCell ref="G80:H80"/>
    <mergeCell ref="G73:H73"/>
    <mergeCell ref="E73:F73"/>
    <mergeCell ref="E72:H72"/>
    <mergeCell ref="B71:H71"/>
    <mergeCell ref="B72:D73"/>
    <mergeCell ref="E77:F77"/>
    <mergeCell ref="G77:H77"/>
    <mergeCell ref="G78:H78"/>
    <mergeCell ref="E78:F78"/>
    <mergeCell ref="E79:F79"/>
    <mergeCell ref="G79:H79"/>
    <mergeCell ref="G74:H74"/>
    <mergeCell ref="E74:F74"/>
    <mergeCell ref="E75:F75"/>
    <mergeCell ref="G75:H75"/>
    <mergeCell ref="B80:D80"/>
    <mergeCell ref="B74:D74"/>
    <mergeCell ref="B75:D75"/>
    <mergeCell ref="B76:D76"/>
    <mergeCell ref="B77:D77"/>
  </mergeCells>
  <dataValidations count="1">
    <dataValidation type="list" allowBlank="1" showInputMessage="1" showErrorMessage="1" sqref="D53 D41 D24 D7 J62 D62" xr:uid="{00000000-0002-0000-0300-000000000000}">
      <formula1>Local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F81"/>
  <sheetViews>
    <sheetView zoomScaleNormal="100" workbookViewId="0">
      <selection activeCell="D4" sqref="D4:F4"/>
    </sheetView>
  </sheetViews>
  <sheetFormatPr defaultRowHeight="13.2"/>
  <cols>
    <col min="1" max="1" width="14.33203125" customWidth="1"/>
    <col min="2" max="2" width="15.88671875" customWidth="1"/>
    <col min="3" max="3" width="14.33203125" customWidth="1"/>
    <col min="4" max="4" width="12" customWidth="1"/>
    <col min="5" max="5" width="13.109375" customWidth="1"/>
    <col min="6" max="6" width="13.33203125" customWidth="1"/>
    <col min="7" max="7" width="12.33203125" customWidth="1"/>
    <col min="8" max="8" width="13.88671875" customWidth="1"/>
    <col min="9" max="9" width="18.44140625" customWidth="1"/>
    <col min="10" max="10" width="15.6640625" customWidth="1"/>
    <col min="11" max="11" width="15.5546875" customWidth="1"/>
    <col min="12" max="12" width="17.44140625" customWidth="1"/>
    <col min="13" max="13" width="14.5546875" customWidth="1"/>
    <col min="15" max="15" width="61.109375" customWidth="1"/>
    <col min="16" max="16" width="11.109375" customWidth="1"/>
    <col min="17" max="17" width="11" customWidth="1"/>
    <col min="18" max="18" width="10.6640625" customWidth="1"/>
    <col min="19" max="19" width="12.109375" customWidth="1"/>
    <col min="20" max="20" width="10.88671875" customWidth="1"/>
    <col min="21" max="21" width="12" customWidth="1"/>
    <col min="22" max="22" width="10.88671875" customWidth="1"/>
    <col min="25" max="25" width="12.109375" customWidth="1"/>
    <col min="26" max="26" width="10.88671875" customWidth="1"/>
    <col min="27" max="27" width="11.109375" customWidth="1"/>
    <col min="28" max="28" width="13" customWidth="1"/>
    <col min="29" max="29" width="10.33203125" customWidth="1"/>
    <col min="30" max="30" width="11.5546875" customWidth="1"/>
    <col min="39" max="39" width="11" customWidth="1"/>
    <col min="40" max="40" width="12.44140625" customWidth="1"/>
    <col min="41" max="41" width="10.44140625" customWidth="1"/>
    <col min="42" max="42" width="10.6640625" customWidth="1"/>
    <col min="43" max="43" width="12.44140625" customWidth="1"/>
    <col min="44" max="44" width="10.44140625" customWidth="1"/>
    <col min="45" max="45" width="11.6640625" customWidth="1"/>
    <col min="46" max="46" width="10.44140625" customWidth="1"/>
    <col min="49" max="49" width="10.109375" customWidth="1"/>
  </cols>
  <sheetData>
    <row r="1" spans="1:58" ht="13.8" thickBot="1">
      <c r="Q1" s="6"/>
      <c r="T1" s="1"/>
      <c r="Z1" s="7"/>
    </row>
    <row r="2" spans="1:58" ht="14.25" customHeight="1" thickTop="1" thickBot="1">
      <c r="A2" s="233" t="s">
        <v>202</v>
      </c>
      <c r="B2" s="234"/>
      <c r="C2" s="234"/>
      <c r="D2" s="235"/>
      <c r="E2" s="235"/>
      <c r="F2" s="235"/>
      <c r="G2" s="235"/>
      <c r="H2" s="235"/>
      <c r="I2" s="235"/>
      <c r="J2" s="235"/>
      <c r="K2" s="235"/>
      <c r="L2" s="235"/>
      <c r="M2" s="235"/>
      <c r="P2" s="60"/>
      <c r="AB2" s="4"/>
      <c r="AC2" s="4"/>
      <c r="AD2" s="4"/>
      <c r="AM2" s="4"/>
      <c r="AW2" s="4"/>
      <c r="AX2" s="4"/>
      <c r="AY2" s="4"/>
      <c r="AZ2" s="4"/>
      <c r="BA2" s="4"/>
      <c r="BB2" s="4"/>
      <c r="BC2" s="4"/>
      <c r="BD2" s="4"/>
      <c r="BE2" s="4"/>
      <c r="BF2" s="4"/>
    </row>
    <row r="3" spans="1:58">
      <c r="A3" s="220" t="s">
        <v>0</v>
      </c>
      <c r="B3" s="236"/>
      <c r="C3" s="236"/>
      <c r="D3" s="236"/>
      <c r="E3" s="236"/>
      <c r="F3" s="237"/>
      <c r="G3" s="238" t="s">
        <v>9</v>
      </c>
      <c r="H3" s="239"/>
      <c r="I3" s="239"/>
      <c r="J3" s="239"/>
      <c r="K3" s="239"/>
      <c r="L3" s="239"/>
      <c r="M3" s="239"/>
      <c r="P3" s="1"/>
      <c r="AB3" s="1"/>
      <c r="AC3" s="1"/>
      <c r="AD3" s="1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58">
      <c r="A4" s="244" t="s">
        <v>1</v>
      </c>
      <c r="B4" s="244"/>
      <c r="C4" s="261"/>
      <c r="D4" s="245" t="s">
        <v>426</v>
      </c>
      <c r="E4" s="246"/>
      <c r="F4" s="247"/>
      <c r="G4" s="396" t="s">
        <v>10</v>
      </c>
      <c r="H4" s="244"/>
      <c r="I4" s="261"/>
      <c r="J4" s="245" t="s">
        <v>327</v>
      </c>
      <c r="K4" s="246"/>
      <c r="L4" s="246"/>
      <c r="M4" s="246"/>
      <c r="P4" s="8"/>
      <c r="AB4" s="60"/>
      <c r="AC4" s="60"/>
      <c r="AD4" s="60"/>
      <c r="AM4" s="4"/>
      <c r="AN4" s="4"/>
      <c r="AO4" s="4"/>
      <c r="AP4" s="1"/>
      <c r="AQ4" s="4"/>
      <c r="AR4" s="1"/>
      <c r="AS4" s="1"/>
      <c r="AT4" s="1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>
      <c r="A5" s="236" t="s">
        <v>2</v>
      </c>
      <c r="B5" s="236"/>
      <c r="C5" s="237"/>
      <c r="D5" s="241" t="s">
        <v>427</v>
      </c>
      <c r="E5" s="242"/>
      <c r="F5" s="243"/>
      <c r="G5" s="508" t="s">
        <v>89</v>
      </c>
      <c r="H5" s="236"/>
      <c r="I5" s="237"/>
      <c r="J5" s="241" t="s">
        <v>331</v>
      </c>
      <c r="K5" s="242"/>
      <c r="L5" s="242"/>
      <c r="M5" s="242"/>
      <c r="AB5" s="4"/>
      <c r="AC5" s="4"/>
      <c r="AD5" s="4"/>
      <c r="AM5" s="4"/>
      <c r="AN5" s="4"/>
      <c r="AO5" s="1"/>
      <c r="AP5" s="1"/>
      <c r="AQ5" s="1"/>
      <c r="AR5" s="1"/>
      <c r="AS5" s="1"/>
      <c r="AT5" s="1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ht="12.75" customHeight="1">
      <c r="A6" s="236" t="s">
        <v>3</v>
      </c>
      <c r="B6" s="236"/>
      <c r="C6" s="237"/>
      <c r="D6" s="254">
        <f ca="1">TODAY()</f>
        <v>45350</v>
      </c>
      <c r="E6" s="255"/>
      <c r="F6" s="256"/>
      <c r="G6" s="251" t="s">
        <v>12</v>
      </c>
      <c r="H6" s="236"/>
      <c r="I6" s="237"/>
      <c r="J6" s="241" t="s">
        <v>329</v>
      </c>
      <c r="K6" s="242"/>
      <c r="L6" s="242"/>
      <c r="M6" s="242"/>
      <c r="AB6" s="1"/>
      <c r="AC6" s="4"/>
      <c r="AD6" s="1"/>
      <c r="AM6" s="1"/>
      <c r="AN6" s="1"/>
      <c r="AO6" s="1"/>
      <c r="AP6" s="1"/>
      <c r="AQ6" s="87"/>
      <c r="AR6" s="87"/>
      <c r="AS6" s="87"/>
      <c r="AT6" s="87"/>
      <c r="AW6" s="26"/>
      <c r="AX6" s="30"/>
      <c r="AY6" s="30"/>
      <c r="AZ6" s="30"/>
      <c r="BA6" s="30"/>
      <c r="BB6" s="30"/>
      <c r="BC6" s="30"/>
      <c r="BD6" s="30"/>
      <c r="BE6" s="30"/>
      <c r="BF6" s="30"/>
    </row>
    <row r="7" spans="1:58">
      <c r="A7" s="236"/>
      <c r="B7" s="236"/>
      <c r="C7" s="237"/>
      <c r="D7" s="251"/>
      <c r="E7" s="236"/>
      <c r="F7" s="237"/>
      <c r="G7" s="251" t="s">
        <v>13</v>
      </c>
      <c r="H7" s="236"/>
      <c r="I7" s="237"/>
      <c r="J7" s="252">
        <v>2010</v>
      </c>
      <c r="K7" s="253"/>
      <c r="L7" s="253"/>
      <c r="M7" s="253"/>
      <c r="P7" s="48"/>
      <c r="AB7" s="1"/>
      <c r="AC7" s="1"/>
      <c r="AD7" s="1"/>
      <c r="AM7" s="1"/>
      <c r="AN7" s="1"/>
      <c r="AO7" s="1"/>
      <c r="AP7" s="1"/>
      <c r="AQ7" s="88"/>
      <c r="AR7" s="88"/>
      <c r="AS7" s="88"/>
      <c r="AT7" s="88"/>
      <c r="AW7" s="26"/>
      <c r="AX7" s="30"/>
      <c r="AY7" s="30"/>
      <c r="AZ7" s="30"/>
      <c r="BA7" s="30"/>
      <c r="BB7" s="30"/>
      <c r="BC7" s="30"/>
      <c r="BD7" s="30"/>
      <c r="BE7" s="30"/>
      <c r="BF7" s="30"/>
    </row>
    <row r="8" spans="1:58">
      <c r="A8" s="266" t="s">
        <v>4</v>
      </c>
      <c r="B8" s="258"/>
      <c r="C8" s="258"/>
      <c r="D8" s="258"/>
      <c r="E8" s="258"/>
      <c r="F8" s="259"/>
      <c r="G8" s="267" t="s">
        <v>14</v>
      </c>
      <c r="H8" s="259"/>
      <c r="I8" s="267" t="s">
        <v>16</v>
      </c>
      <c r="J8" s="258"/>
      <c r="K8" s="258"/>
      <c r="L8" s="258"/>
      <c r="M8" s="258"/>
      <c r="P8" s="8"/>
      <c r="AM8" s="29"/>
      <c r="AN8" s="1"/>
      <c r="AO8" s="53"/>
      <c r="AP8" s="1"/>
      <c r="AQ8" s="85"/>
      <c r="AR8" s="85"/>
      <c r="AS8" s="89"/>
      <c r="AT8" s="89"/>
      <c r="AW8" s="26"/>
      <c r="AX8" s="30"/>
      <c r="AY8" s="30"/>
      <c r="AZ8" s="30"/>
      <c r="BA8" s="30"/>
      <c r="BB8" s="30"/>
      <c r="BC8" s="30"/>
      <c r="BD8" s="30"/>
      <c r="BE8" s="30"/>
      <c r="BF8" s="30"/>
    </row>
    <row r="9" spans="1:58" ht="13.8" thickBot="1">
      <c r="A9" s="257" t="s">
        <v>90</v>
      </c>
      <c r="B9" s="258"/>
      <c r="C9" s="258"/>
      <c r="D9" s="258"/>
      <c r="E9" s="258"/>
      <c r="F9" s="259"/>
      <c r="G9" s="511" t="s">
        <v>15</v>
      </c>
      <c r="H9" s="261"/>
      <c r="I9" s="512" t="s">
        <v>96</v>
      </c>
      <c r="J9" s="513"/>
      <c r="K9" s="513"/>
      <c r="L9" s="513"/>
      <c r="M9" s="513"/>
      <c r="N9" s="112" t="str">
        <f>IF($I$9="3ST","Unsignalized three-leg (stop control on minor-road approaches)",IF($I$9="4ST","Unsignalized four-leg (stop control on minor-road approaches)","Signalized four-leg"))</f>
        <v>Unsignalized three-leg (stop control on minor-road approaches)</v>
      </c>
      <c r="P9" s="7"/>
      <c r="AB9" s="10"/>
      <c r="AC9" s="10"/>
      <c r="AD9" s="10"/>
      <c r="AM9" s="1"/>
      <c r="AN9" s="1"/>
      <c r="AO9" s="1"/>
      <c r="AP9" s="1"/>
      <c r="AQ9" s="85"/>
      <c r="AR9" s="85"/>
      <c r="AS9" s="85"/>
      <c r="AT9" s="85"/>
      <c r="AW9" s="26"/>
      <c r="AX9" s="30"/>
      <c r="AY9" s="30"/>
      <c r="AZ9" s="30"/>
      <c r="BA9" s="30"/>
      <c r="BB9" s="30"/>
      <c r="BC9" s="30"/>
      <c r="BD9" s="30"/>
      <c r="BE9" s="30"/>
      <c r="BF9" s="30"/>
    </row>
    <row r="10" spans="1:58" ht="16.2" thickBot="1">
      <c r="A10" s="257" t="s">
        <v>91</v>
      </c>
      <c r="B10" s="332"/>
      <c r="C10" s="514" t="s">
        <v>528</v>
      </c>
      <c r="D10" s="107" t="s">
        <v>407</v>
      </c>
      <c r="E10" s="108">
        <f>IF($I$9="3ST",78300,IF($I$9="4ST",78300,43500))</f>
        <v>78300</v>
      </c>
      <c r="F10" s="109" t="s">
        <v>529</v>
      </c>
      <c r="G10" s="263" t="s">
        <v>15</v>
      </c>
      <c r="H10" s="259"/>
      <c r="I10" s="268">
        <v>8000</v>
      </c>
      <c r="J10" s="269"/>
      <c r="K10" s="269"/>
      <c r="L10" s="269"/>
      <c r="M10" s="269"/>
      <c r="N10" s="110" t="str">
        <f>IF(I10&gt;E10,"AADT out of range","AADT OK")</f>
        <v>AADT OK</v>
      </c>
      <c r="P10" s="7"/>
      <c r="AB10" s="10"/>
      <c r="AC10" s="10"/>
      <c r="AD10" s="10"/>
      <c r="AM10" s="54"/>
      <c r="AN10" s="38"/>
      <c r="AO10" s="53"/>
      <c r="AP10" s="1"/>
      <c r="AQ10" s="85"/>
      <c r="AR10" s="85"/>
      <c r="AS10" s="89"/>
      <c r="AT10" s="89"/>
      <c r="AW10" s="81"/>
    </row>
    <row r="11" spans="1:58" ht="16.2" thickBot="1">
      <c r="A11" s="257" t="s">
        <v>92</v>
      </c>
      <c r="B11" s="332"/>
      <c r="C11" s="515"/>
      <c r="D11" s="107" t="s">
        <v>407</v>
      </c>
      <c r="E11" s="108">
        <f>IF($I$9="3ST",23000,IF($I$9="4ST",7400,18500))</f>
        <v>23000</v>
      </c>
      <c r="F11" s="109" t="s">
        <v>529</v>
      </c>
      <c r="G11" s="263" t="s">
        <v>15</v>
      </c>
      <c r="H11" s="259"/>
      <c r="I11" s="268">
        <v>1000</v>
      </c>
      <c r="J11" s="269"/>
      <c r="K11" s="269"/>
      <c r="L11" s="269"/>
      <c r="M11" s="269"/>
      <c r="N11" s="110" t="str">
        <f>IF(I11&gt;E11,"AADT out of range","AADT OK")</f>
        <v>AADT OK</v>
      </c>
      <c r="P11" s="7"/>
      <c r="AB11" s="10"/>
      <c r="AC11" s="10"/>
      <c r="AD11" s="10"/>
      <c r="AM11" s="38"/>
      <c r="AN11" s="38"/>
      <c r="AO11" s="1"/>
      <c r="AP11" s="1"/>
      <c r="AQ11" s="85"/>
      <c r="AR11" s="85"/>
      <c r="AS11" s="85"/>
      <c r="AT11" s="85"/>
    </row>
    <row r="12" spans="1:58">
      <c r="A12" s="223" t="s">
        <v>501</v>
      </c>
      <c r="B12" s="223"/>
      <c r="C12" s="223"/>
      <c r="D12" s="223"/>
      <c r="E12" s="223"/>
      <c r="F12" s="522"/>
      <c r="G12" s="263" t="s">
        <v>15</v>
      </c>
      <c r="H12" s="510"/>
      <c r="I12" s="226" t="s">
        <v>449</v>
      </c>
      <c r="J12" s="227"/>
      <c r="K12" s="227"/>
      <c r="L12" s="227"/>
      <c r="M12" s="227"/>
      <c r="N12" s="110"/>
      <c r="P12" s="7"/>
      <c r="AB12" s="10"/>
      <c r="AC12" s="10"/>
      <c r="AD12" s="10"/>
      <c r="AM12" s="38"/>
      <c r="AN12" s="38"/>
      <c r="AO12" s="1"/>
      <c r="AP12" s="1"/>
      <c r="AQ12" s="85"/>
      <c r="AR12" s="85"/>
      <c r="AS12" s="85"/>
      <c r="AT12" s="85"/>
    </row>
    <row r="13" spans="1:58">
      <c r="A13" s="509" t="s">
        <v>465</v>
      </c>
      <c r="B13" s="509"/>
      <c r="C13" s="509"/>
      <c r="D13" s="509"/>
      <c r="E13" s="509"/>
      <c r="F13" s="365"/>
      <c r="G13" s="263" t="s">
        <v>15</v>
      </c>
      <c r="H13" s="510"/>
      <c r="I13" s="226" t="s">
        <v>173</v>
      </c>
      <c r="J13" s="523"/>
      <c r="K13" s="523"/>
      <c r="L13" s="523"/>
      <c r="M13" s="523"/>
      <c r="N13" s="110"/>
      <c r="P13" s="7"/>
      <c r="AB13" s="10"/>
      <c r="AC13" s="10"/>
      <c r="AD13" s="10"/>
      <c r="AM13" s="38"/>
      <c r="AN13" s="38"/>
      <c r="AO13" s="1"/>
      <c r="AP13" s="1"/>
      <c r="AQ13" s="85"/>
      <c r="AR13" s="85"/>
      <c r="AS13" s="85"/>
      <c r="AT13" s="85"/>
    </row>
    <row r="14" spans="1:58">
      <c r="A14" s="257" t="s">
        <v>93</v>
      </c>
      <c r="B14" s="258"/>
      <c r="C14" s="258"/>
      <c r="D14" s="258"/>
      <c r="E14" s="258"/>
      <c r="F14" s="259"/>
      <c r="G14" s="271">
        <v>0</v>
      </c>
      <c r="H14" s="259"/>
      <c r="I14" s="268">
        <v>30</v>
      </c>
      <c r="J14" s="521"/>
      <c r="K14" s="521"/>
      <c r="L14" s="521"/>
      <c r="M14" s="521"/>
      <c r="O14" s="113" t="s">
        <v>410</v>
      </c>
      <c r="P14" s="7"/>
      <c r="AB14" s="10"/>
      <c r="AC14" s="10"/>
      <c r="AD14" s="10"/>
      <c r="AM14" s="38"/>
      <c r="AN14" s="38"/>
      <c r="AO14" s="53"/>
      <c r="AP14" s="30"/>
      <c r="AQ14" s="30"/>
      <c r="AR14" s="30"/>
      <c r="AS14" s="30"/>
      <c r="AT14" s="30"/>
    </row>
    <row r="15" spans="1:58">
      <c r="A15" s="257" t="str">
        <f>"Number of non-STOP-controlled approaches with left-turn lanes (0, 1"&amp;IF(LEFT(I9,1)="4",", 2)",")")</f>
        <v>Number of non-STOP-controlled approaches with left-turn lanes (0, 1)</v>
      </c>
      <c r="B15" s="258"/>
      <c r="C15" s="258"/>
      <c r="D15" s="258"/>
      <c r="E15" s="258"/>
      <c r="F15" s="259"/>
      <c r="G15" s="270">
        <v>0</v>
      </c>
      <c r="H15" s="259"/>
      <c r="I15" s="226">
        <v>1</v>
      </c>
      <c r="J15" s="227"/>
      <c r="K15" s="227"/>
      <c r="L15" s="227"/>
      <c r="M15" s="227"/>
      <c r="P15" s="7"/>
      <c r="AB15" s="10"/>
      <c r="AC15" s="10"/>
      <c r="AD15" s="10"/>
      <c r="AM15" s="79"/>
      <c r="AN15" s="79"/>
      <c r="AO15" s="18"/>
      <c r="AP15" s="18"/>
      <c r="AQ15" s="18"/>
      <c r="AR15" s="18"/>
      <c r="AS15" s="18"/>
      <c r="AT15" s="18"/>
    </row>
    <row r="16" spans="1:58">
      <c r="A16" s="257" t="str">
        <f>"Number of non-STOP-controlled approaches with right-turn lanes (0, 1"&amp;IF(LEFT(I9,1)="4",", 2)",")")</f>
        <v>Number of non-STOP-controlled approaches with right-turn lanes (0, 1)</v>
      </c>
      <c r="B16" s="258"/>
      <c r="C16" s="258"/>
      <c r="D16" s="258"/>
      <c r="E16" s="258"/>
      <c r="F16" s="259"/>
      <c r="G16" s="271">
        <v>0</v>
      </c>
      <c r="H16" s="259"/>
      <c r="I16" s="274">
        <v>0</v>
      </c>
      <c r="J16" s="227"/>
      <c r="K16" s="227"/>
      <c r="L16" s="227"/>
      <c r="M16" s="227"/>
      <c r="P16" s="7"/>
      <c r="AB16" s="10"/>
      <c r="AC16" s="10"/>
      <c r="AD16" s="10"/>
      <c r="AM16" s="18"/>
      <c r="AN16" s="18"/>
      <c r="AO16" s="18"/>
      <c r="AP16" s="18"/>
      <c r="AQ16" s="18"/>
      <c r="AR16" s="18"/>
      <c r="AS16" s="18"/>
      <c r="AT16" s="18"/>
      <c r="AW16" s="26"/>
      <c r="BA16" s="30"/>
    </row>
    <row r="17" spans="1:53">
      <c r="A17" s="257" t="s">
        <v>94</v>
      </c>
      <c r="B17" s="258"/>
      <c r="C17" s="258"/>
      <c r="D17" s="258"/>
      <c r="E17" s="258"/>
      <c r="F17" s="259"/>
      <c r="G17" s="273" t="s">
        <v>70</v>
      </c>
      <c r="H17" s="259"/>
      <c r="I17" s="226" t="s">
        <v>71</v>
      </c>
      <c r="J17" s="227"/>
      <c r="K17" s="227"/>
      <c r="L17" s="227"/>
      <c r="M17" s="227"/>
      <c r="P17" s="7"/>
      <c r="AB17" s="10"/>
      <c r="AC17" s="10"/>
      <c r="AD17" s="10"/>
      <c r="AM17" s="18"/>
      <c r="AN17" s="79"/>
      <c r="AO17" s="18"/>
      <c r="AP17" s="18"/>
      <c r="AQ17" s="18"/>
      <c r="AR17" s="18"/>
      <c r="AS17" s="18"/>
      <c r="AT17" s="18"/>
    </row>
    <row r="18" spans="1:53" ht="16.2" thickBot="1">
      <c r="A18" s="275" t="s">
        <v>512</v>
      </c>
      <c r="B18" s="276"/>
      <c r="C18" s="276"/>
      <c r="D18" s="276"/>
      <c r="E18" s="276"/>
      <c r="F18" s="277"/>
      <c r="G18" s="278">
        <v>1</v>
      </c>
      <c r="H18" s="279"/>
      <c r="I18" s="280">
        <v>1</v>
      </c>
      <c r="J18" s="281"/>
      <c r="K18" s="281"/>
      <c r="L18" s="281"/>
      <c r="M18" s="281"/>
      <c r="P18" s="62"/>
      <c r="AB18" s="10"/>
      <c r="AC18" s="10"/>
      <c r="AD18" s="10"/>
      <c r="AM18" s="18"/>
      <c r="AN18" s="18"/>
      <c r="AO18" s="18"/>
      <c r="AP18" s="18"/>
      <c r="AQ18" s="18"/>
      <c r="AR18" s="18"/>
      <c r="AS18" s="18"/>
      <c r="AT18" s="18"/>
      <c r="AW18" s="26"/>
      <c r="BA18" s="30"/>
    </row>
    <row r="19" spans="1:53" ht="13.8" thickTop="1">
      <c r="A19" s="25"/>
      <c r="B19" s="25"/>
      <c r="C19" s="25"/>
      <c r="D19" s="25"/>
      <c r="E19" s="25"/>
      <c r="F19" s="25"/>
      <c r="G19" s="31"/>
      <c r="H19" s="32"/>
      <c r="I19" s="33"/>
      <c r="J19" s="25"/>
      <c r="K19" s="25"/>
      <c r="L19" s="25"/>
      <c r="M19" s="25"/>
      <c r="P19" s="61"/>
      <c r="AB19" s="10"/>
      <c r="AC19" s="10"/>
      <c r="AD19" s="10"/>
    </row>
    <row r="20" spans="1:53" ht="13.8" thickBot="1">
      <c r="G20" s="1"/>
      <c r="I20" s="1"/>
      <c r="P20" s="60"/>
      <c r="AB20" s="1"/>
      <c r="AC20" s="1"/>
      <c r="AD20" s="1"/>
      <c r="AE20" s="1"/>
      <c r="AF20" s="1"/>
      <c r="AG20" s="1"/>
      <c r="AH20" s="1"/>
      <c r="AI20" s="1"/>
      <c r="AJ20" s="1"/>
      <c r="AM20" s="4"/>
      <c r="AN20" s="4"/>
      <c r="AO20" s="4"/>
      <c r="AP20" s="4"/>
      <c r="AQ20" s="4"/>
      <c r="AR20" s="1"/>
      <c r="AS20" s="1"/>
      <c r="AT20" s="1"/>
    </row>
    <row r="21" spans="1:53" ht="14.4" thickTop="1" thickBot="1">
      <c r="A21" s="233" t="s">
        <v>203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P21" s="4"/>
      <c r="AB21" s="1"/>
      <c r="AC21" s="1"/>
      <c r="AD21" s="1"/>
      <c r="AE21" s="1"/>
      <c r="AF21" s="1"/>
      <c r="AG21" s="1"/>
      <c r="AH21" s="1"/>
      <c r="AI21" s="1"/>
      <c r="AJ21" s="1"/>
      <c r="AM21" s="4"/>
      <c r="AN21" s="4"/>
      <c r="AO21" s="4"/>
      <c r="AP21" s="4"/>
      <c r="AQ21" s="4"/>
      <c r="AR21" s="1"/>
      <c r="AS21" s="1"/>
      <c r="AT21" s="1"/>
    </row>
    <row r="22" spans="1:53">
      <c r="A22" s="548" t="s">
        <v>17</v>
      </c>
      <c r="B22" s="549"/>
      <c r="C22" s="547" t="s">
        <v>18</v>
      </c>
      <c r="D22" s="550"/>
      <c r="E22" s="337"/>
      <c r="F22" s="307" t="s">
        <v>19</v>
      </c>
      <c r="G22" s="369"/>
      <c r="H22" s="547" t="s">
        <v>20</v>
      </c>
      <c r="I22" s="337"/>
      <c r="J22" s="547" t="s">
        <v>21</v>
      </c>
      <c r="K22" s="337"/>
      <c r="L22" s="307" t="s">
        <v>22</v>
      </c>
      <c r="M22" s="376"/>
      <c r="P22" s="8"/>
      <c r="AB22" s="60"/>
      <c r="AC22" s="60"/>
      <c r="AD22" s="60"/>
      <c r="AE22" s="60"/>
      <c r="AF22" s="60"/>
      <c r="AG22" s="60"/>
      <c r="AH22" s="60"/>
      <c r="AI22" s="60"/>
      <c r="AJ22" s="60"/>
      <c r="AM22" s="4"/>
      <c r="AN22" s="4"/>
      <c r="AO22" s="4"/>
      <c r="AP22" s="1"/>
      <c r="AQ22" s="4"/>
      <c r="AR22" s="1"/>
      <c r="AS22" s="1"/>
      <c r="AT22" s="1"/>
    </row>
    <row r="23" spans="1:53" ht="15.6">
      <c r="A23" s="537" t="s">
        <v>34</v>
      </c>
      <c r="B23" s="538"/>
      <c r="C23" s="517" t="s">
        <v>205</v>
      </c>
      <c r="D23" s="240"/>
      <c r="E23" s="524"/>
      <c r="F23" s="535" t="s">
        <v>102</v>
      </c>
      <c r="G23" s="536"/>
      <c r="H23" s="517" t="s">
        <v>103</v>
      </c>
      <c r="I23" s="237"/>
      <c r="J23" s="517" t="s">
        <v>31</v>
      </c>
      <c r="K23" s="237"/>
      <c r="L23" s="525" t="s">
        <v>343</v>
      </c>
      <c r="M23" s="526"/>
      <c r="AB23" s="45"/>
      <c r="AC23" s="45"/>
      <c r="AD23" s="45"/>
      <c r="AE23" s="45"/>
      <c r="AF23" s="45"/>
      <c r="AG23" s="45"/>
      <c r="AH23" s="45"/>
      <c r="AI23" s="45"/>
      <c r="AJ23" s="45"/>
      <c r="AM23" s="4"/>
      <c r="AN23" s="4"/>
      <c r="AO23" s="1"/>
      <c r="AP23" s="1"/>
      <c r="AQ23" s="1"/>
      <c r="AR23" s="1"/>
      <c r="AS23" s="1"/>
      <c r="AT23" s="1"/>
    </row>
    <row r="24" spans="1:53" ht="15.6">
      <c r="A24" s="470"/>
      <c r="B24" s="529"/>
      <c r="C24" s="525" t="s">
        <v>206</v>
      </c>
      <c r="D24" s="526"/>
      <c r="E24" s="527"/>
      <c r="F24" s="535" t="s">
        <v>340</v>
      </c>
      <c r="G24" s="536"/>
      <c r="H24" s="517" t="s">
        <v>341</v>
      </c>
      <c r="I24" s="237"/>
      <c r="J24" s="517" t="s">
        <v>342</v>
      </c>
      <c r="K24" s="237"/>
      <c r="L24" s="528"/>
      <c r="M24" s="470"/>
      <c r="AB24" s="45"/>
      <c r="AC24" s="45"/>
      <c r="AD24" s="45"/>
      <c r="AE24" s="45"/>
      <c r="AF24" s="45"/>
      <c r="AG24" s="45"/>
      <c r="AH24" s="45"/>
      <c r="AI24" s="45"/>
      <c r="AJ24" s="45"/>
      <c r="AM24" s="1"/>
      <c r="AN24" s="1"/>
      <c r="AO24" s="1"/>
      <c r="AP24" s="1"/>
      <c r="AQ24" s="87"/>
      <c r="AR24" s="87"/>
      <c r="AS24" s="87"/>
      <c r="AT24" s="87"/>
    </row>
    <row r="25" spans="1:53">
      <c r="A25" s="539"/>
      <c r="B25" s="540"/>
      <c r="C25" s="528"/>
      <c r="D25" s="470"/>
      <c r="E25" s="529"/>
      <c r="F25" s="535" t="s">
        <v>394</v>
      </c>
      <c r="G25" s="536"/>
      <c r="H25" s="517" t="s">
        <v>395</v>
      </c>
      <c r="I25" s="237"/>
      <c r="J25" s="517" t="s">
        <v>344</v>
      </c>
      <c r="K25" s="237"/>
      <c r="L25" s="543" t="s">
        <v>204</v>
      </c>
      <c r="M25" s="544"/>
      <c r="AB25" s="64"/>
      <c r="AC25" s="64"/>
      <c r="AD25" s="64"/>
      <c r="AE25" s="64"/>
      <c r="AF25" s="64"/>
      <c r="AG25" s="64"/>
      <c r="AH25" s="64"/>
      <c r="AI25" s="64"/>
      <c r="AJ25" s="64"/>
      <c r="AM25" s="1"/>
      <c r="AN25" s="1"/>
      <c r="AO25" s="1"/>
      <c r="AP25" s="1"/>
      <c r="AQ25" s="88"/>
      <c r="AR25" s="88"/>
      <c r="AS25" s="88"/>
      <c r="AT25" s="88"/>
    </row>
    <row r="26" spans="1:53">
      <c r="A26" s="519" t="s">
        <v>37</v>
      </c>
      <c r="B26" s="520"/>
      <c r="C26" s="516">
        <f>IF($I$9="4SG","--",IF($I$9="3ST",(((0.016*$I$14)/(0.98+0.16*$I$14))+1),(((0.053*$I$14)/(1.43+0.53*$I$14))+1)))</f>
        <v>1.0830449826989619</v>
      </c>
      <c r="D26" s="518"/>
      <c r="E26" s="518"/>
      <c r="F26" s="516">
        <f>IF($I$9="4SG","--",IF($I$15=0,1,IF($I$9="3ST",0.56,(IF($I$15=1,0.72,0.52)))))</f>
        <v>0.56000000000000005</v>
      </c>
      <c r="G26" s="516"/>
      <c r="H26" s="516">
        <f>IF($I$9="4SG","--",IF($I$16=0,1,IF($I$9="3ST",0.86,(IF($I$16=1,0.86,0.74)))))</f>
        <v>1</v>
      </c>
      <c r="I26" s="516"/>
      <c r="J26" s="516">
        <f>IF($I$9="4SG","--",(IF(($I$17="Not Present"),1,(1-0.38*(IF($I$9="3ST",(IF('Intersection Tables'!D51="No",'Intersection Tables'!G55,'Intersection Tables'!K55)),(IF('Intersection Tables'!D51="No",'Intersection Tables'!G56,'Intersection Tables'!K56))))))))</f>
        <v>0.89512000000000003</v>
      </c>
      <c r="K26" s="534"/>
      <c r="L26" s="541">
        <f>IF($I$9="4SG",1,C26*F26*H26*J26)</f>
        <v>0.54289492595155708</v>
      </c>
      <c r="M26" s="542"/>
      <c r="P26" s="48"/>
      <c r="AB26" s="65"/>
      <c r="AC26" s="65"/>
      <c r="AD26" s="65"/>
      <c r="AE26" s="65"/>
      <c r="AF26" s="65"/>
      <c r="AG26" s="65"/>
      <c r="AH26" s="65"/>
      <c r="AI26" s="65"/>
      <c r="AJ26" s="65"/>
      <c r="AM26" s="29"/>
      <c r="AN26" s="1"/>
      <c r="AO26" s="53"/>
      <c r="AP26" s="1"/>
      <c r="AQ26" s="85"/>
      <c r="AR26" s="85"/>
      <c r="AS26" s="89"/>
      <c r="AT26" s="89"/>
    </row>
    <row r="27" spans="1:53" ht="13.8" thickBot="1">
      <c r="A27" s="551" t="s">
        <v>38</v>
      </c>
      <c r="B27" s="552"/>
      <c r="C27" s="489">
        <f>IF($I$9="4SG","--",IF($I$9="3ST",(((0.017*$I$14)/(0.52+0.17*$I$14))+1),(((0.048*$I$14)/(0.72+0.48*$I$14))+1)))</f>
        <v>1.0907473309608542</v>
      </c>
      <c r="D27" s="454"/>
      <c r="E27" s="454"/>
      <c r="F27" s="489">
        <f>IF($I$9="4SG","--",IF($I$15=0,1,IF($I$9="3ST",0.45,(IF($I$15=1,0.65,0.42)))))</f>
        <v>0.45</v>
      </c>
      <c r="G27" s="489"/>
      <c r="H27" s="489">
        <f>IF($I$9="4SG","--",IF($I$16=0,1,IF($I$9="3ST",0.77,(IF($I$16=1,0.77,0.59)))))</f>
        <v>1</v>
      </c>
      <c r="I27" s="489"/>
      <c r="J27" s="489">
        <f>IF($I$9="4SG","--",(IF(($I$17="Not Present"),1,(1-0.38*(IF($I$9="3ST",(IF('Intersection Tables'!$D$51="No",'Intersection Tables'!$G$55,'Intersection Tables'!$K$55)),(IF('Intersection Tables'!$D$51="No",'Intersection Tables'!$G$56,'Intersection Tables'!$K$56))))))))</f>
        <v>0.89512000000000003</v>
      </c>
      <c r="K27" s="367"/>
      <c r="L27" s="564">
        <f>IF($I$9="4SG",1,C27*F27*H27*J27)</f>
        <v>0.43935738790035594</v>
      </c>
      <c r="M27" s="308"/>
      <c r="P27" s="4"/>
      <c r="AB27" s="4"/>
      <c r="AC27" s="1"/>
      <c r="AD27" s="1"/>
      <c r="AE27" s="1"/>
      <c r="AF27" s="1"/>
      <c r="AG27" s="1"/>
      <c r="AH27" s="1"/>
      <c r="AI27" s="1"/>
      <c r="AJ27" s="1"/>
      <c r="AM27" s="1"/>
      <c r="AN27" s="1"/>
      <c r="AO27" s="1"/>
      <c r="AP27" s="1"/>
      <c r="AQ27" s="85"/>
      <c r="AR27" s="85"/>
      <c r="AS27" s="85"/>
      <c r="AT27" s="85"/>
    </row>
    <row r="28" spans="1:53">
      <c r="A28" s="530" t="s">
        <v>359</v>
      </c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P28" s="4"/>
      <c r="AB28" s="4"/>
      <c r="AC28" s="1"/>
      <c r="AD28" s="1"/>
      <c r="AE28" s="1"/>
      <c r="AF28" s="1"/>
      <c r="AG28" s="1"/>
      <c r="AH28" s="1"/>
      <c r="AI28" s="1"/>
      <c r="AJ28" s="1"/>
      <c r="AM28" s="1"/>
      <c r="AN28" s="1"/>
      <c r="AO28" s="1"/>
      <c r="AP28" s="1"/>
      <c r="AQ28" s="85"/>
      <c r="AR28" s="85"/>
      <c r="AS28" s="85"/>
      <c r="AT28" s="85"/>
    </row>
    <row r="29" spans="1:53">
      <c r="A29" s="30"/>
      <c r="B29" s="30"/>
      <c r="C29" s="30"/>
      <c r="D29" s="30"/>
      <c r="E29" s="30"/>
      <c r="F29" s="30"/>
      <c r="G29" s="30"/>
      <c r="I29" s="30"/>
      <c r="J29" s="34"/>
      <c r="K29" s="34"/>
      <c r="P29" s="4"/>
      <c r="AB29" s="4"/>
      <c r="AC29" s="1"/>
      <c r="AD29" s="1"/>
      <c r="AE29" s="1"/>
      <c r="AF29" s="1"/>
      <c r="AG29" s="1"/>
      <c r="AH29" s="1"/>
      <c r="AI29" s="1"/>
      <c r="AJ29" s="1"/>
      <c r="AM29" s="1"/>
      <c r="AN29" s="1"/>
      <c r="AO29" s="1"/>
      <c r="AP29" s="1"/>
      <c r="AQ29" s="85"/>
      <c r="AR29" s="85"/>
      <c r="AS29" s="85"/>
      <c r="AT29" s="85"/>
    </row>
    <row r="30" spans="1:53" ht="13.8" thickBot="1">
      <c r="A30" s="26"/>
      <c r="G30" s="30"/>
      <c r="H30" s="34"/>
      <c r="I30" s="30"/>
      <c r="P30" s="61"/>
      <c r="AB30" s="10"/>
      <c r="AC30" s="10"/>
      <c r="AD30" s="10"/>
      <c r="AE30" s="10"/>
      <c r="AF30" s="10"/>
      <c r="AG30" s="10"/>
      <c r="AH30" s="10"/>
      <c r="AI30" s="10"/>
      <c r="AJ30" s="10"/>
      <c r="AM30" s="54"/>
      <c r="AN30" s="38"/>
      <c r="AO30" s="53"/>
      <c r="AP30" s="1"/>
      <c r="AQ30" s="85"/>
      <c r="AR30" s="85"/>
      <c r="AS30" s="89"/>
      <c r="AT30" s="89"/>
    </row>
    <row r="31" spans="1:53" ht="14.4" thickTop="1" thickBot="1">
      <c r="A31" s="233" t="s">
        <v>207</v>
      </c>
      <c r="B31" s="234"/>
      <c r="C31" s="234"/>
      <c r="D31" s="234"/>
      <c r="E31" s="234"/>
      <c r="F31" s="234"/>
      <c r="G31" s="234"/>
      <c r="H31" s="234"/>
      <c r="I31" s="235"/>
      <c r="J31" s="235"/>
      <c r="K31" s="235"/>
      <c r="L31" s="235"/>
      <c r="M31" s="235"/>
      <c r="P31" s="61"/>
      <c r="AB31" s="10"/>
      <c r="AC31" s="10"/>
      <c r="AD31" s="10"/>
      <c r="AE31" s="10"/>
      <c r="AF31" s="10"/>
      <c r="AG31" s="10"/>
      <c r="AH31" s="10"/>
      <c r="AI31" s="10"/>
      <c r="AJ31" s="10"/>
      <c r="AM31" s="38"/>
      <c r="AN31" s="38"/>
      <c r="AO31" s="1"/>
      <c r="AP31" s="1"/>
      <c r="AQ31" s="85"/>
      <c r="AR31" s="85"/>
      <c r="AS31" s="85"/>
      <c r="AT31" s="85"/>
    </row>
    <row r="32" spans="1:53">
      <c r="A32" s="282" t="s">
        <v>17</v>
      </c>
      <c r="B32" s="283"/>
      <c r="C32" s="307" t="s">
        <v>18</v>
      </c>
      <c r="D32" s="307"/>
      <c r="E32" s="283"/>
      <c r="F32" s="284" t="s">
        <v>19</v>
      </c>
      <c r="G32" s="283"/>
      <c r="H32" s="338" t="s">
        <v>20</v>
      </c>
      <c r="I32" s="337"/>
      <c r="J32" s="2" t="s">
        <v>21</v>
      </c>
      <c r="K32" s="2" t="s">
        <v>22</v>
      </c>
      <c r="L32" s="338" t="s">
        <v>23</v>
      </c>
      <c r="M32" s="550"/>
      <c r="P32" s="61"/>
      <c r="AB32" s="10"/>
      <c r="AC32" s="10"/>
      <c r="AD32" s="10"/>
      <c r="AE32" s="10"/>
      <c r="AF32" s="10"/>
      <c r="AG32" s="10"/>
      <c r="AH32" s="10"/>
      <c r="AI32" s="10"/>
      <c r="AJ32" s="10"/>
      <c r="AM32" s="38"/>
      <c r="AN32" s="38"/>
      <c r="AO32" s="53"/>
      <c r="AP32" s="30"/>
      <c r="AQ32" s="30"/>
      <c r="AR32" s="30"/>
      <c r="AS32" s="30"/>
      <c r="AT32" s="30"/>
    </row>
    <row r="33" spans="1:54" ht="12.75" customHeight="1">
      <c r="A33" s="231" t="s">
        <v>34</v>
      </c>
      <c r="B33" s="298"/>
      <c r="C33" s="310" t="s">
        <v>136</v>
      </c>
      <c r="D33" s="311"/>
      <c r="E33" s="311"/>
      <c r="F33" s="312" t="s">
        <v>208</v>
      </c>
      <c r="G33" s="313"/>
      <c r="H33" s="565" t="s">
        <v>35</v>
      </c>
      <c r="I33" s="568"/>
      <c r="J33" s="19" t="s">
        <v>36</v>
      </c>
      <c r="K33" s="316" t="s">
        <v>513</v>
      </c>
      <c r="L33" s="565" t="s">
        <v>211</v>
      </c>
      <c r="M33" s="566"/>
      <c r="P33" s="61"/>
      <c r="AB33" s="10"/>
      <c r="AC33" s="10"/>
      <c r="AD33" s="10"/>
      <c r="AE33" s="10"/>
      <c r="AF33" s="10"/>
      <c r="AG33" s="10"/>
      <c r="AH33" s="10"/>
      <c r="AI33" s="10"/>
      <c r="AJ33" s="10"/>
      <c r="AM33" s="79"/>
      <c r="AN33" s="79"/>
      <c r="AO33" s="18"/>
      <c r="AP33" s="18"/>
      <c r="AQ33" s="18"/>
      <c r="AR33" s="18"/>
      <c r="AS33" s="18"/>
      <c r="AT33" s="18"/>
    </row>
    <row r="34" spans="1:54" ht="15" customHeight="1">
      <c r="A34" s="259"/>
      <c r="B34" s="298"/>
      <c r="C34" s="313" t="s">
        <v>396</v>
      </c>
      <c r="D34" s="313"/>
      <c r="E34" s="313"/>
      <c r="F34" s="314"/>
      <c r="G34" s="314"/>
      <c r="H34" s="569"/>
      <c r="I34" s="570"/>
      <c r="J34" s="571" t="s">
        <v>210</v>
      </c>
      <c r="K34" s="317"/>
      <c r="L34" s="292"/>
      <c r="M34" s="567"/>
      <c r="P34" s="61"/>
      <c r="AB34" s="10"/>
      <c r="AC34" s="10"/>
      <c r="AD34" s="10"/>
      <c r="AE34" s="10"/>
      <c r="AF34" s="10"/>
      <c r="AG34" s="10"/>
      <c r="AH34" s="10"/>
      <c r="AI34" s="10"/>
      <c r="AJ34" s="10"/>
      <c r="AM34" s="9"/>
      <c r="AN34" s="18"/>
      <c r="AO34" s="18"/>
      <c r="AP34" s="18"/>
      <c r="AQ34" s="18"/>
      <c r="AR34" s="18"/>
      <c r="AS34" s="18"/>
      <c r="AT34" s="18"/>
    </row>
    <row r="35" spans="1:54" ht="15.6" customHeight="1">
      <c r="A35" s="259"/>
      <c r="B35" s="298"/>
      <c r="C35" s="56" t="s">
        <v>137</v>
      </c>
      <c r="D35" s="56" t="str">
        <f>IF(AND(I9="4SG",'Intersection Tables'!D5="No"),"d","b")</f>
        <v>b</v>
      </c>
      <c r="E35" s="56" t="str">
        <f>IF(AND(I9="4SG",'Intersection Tables'!D5="No"),"d","c")</f>
        <v>c</v>
      </c>
      <c r="F35" s="232" t="s">
        <v>209</v>
      </c>
      <c r="G35" s="232"/>
      <c r="H35" s="572" t="s">
        <v>396</v>
      </c>
      <c r="I35" s="332"/>
      <c r="J35" s="555"/>
      <c r="K35" s="317"/>
      <c r="L35" s="563" t="s">
        <v>142</v>
      </c>
      <c r="M35" s="387"/>
      <c r="P35" s="61"/>
      <c r="AB35" s="10"/>
      <c r="AC35" s="10"/>
      <c r="AD35" s="10"/>
      <c r="AE35" s="10"/>
      <c r="AF35" s="10"/>
      <c r="AG35" s="10"/>
      <c r="AH35" s="10"/>
      <c r="AI35" s="10"/>
      <c r="AJ35" s="10"/>
      <c r="AM35" s="90"/>
      <c r="AN35" s="79"/>
      <c r="AO35" s="18"/>
      <c r="AP35" s="18"/>
      <c r="AQ35" s="18"/>
      <c r="AR35" s="18"/>
      <c r="AS35" s="18"/>
      <c r="AT35" s="18"/>
    </row>
    <row r="36" spans="1:54">
      <c r="A36" s="259" t="s">
        <v>37</v>
      </c>
      <c r="B36" s="298"/>
      <c r="C36" s="86">
        <f>IF('Intersection Tables'!$D$5="No",VLOOKUP($A36,'Intersection Tables'!$B$7:$N$10,MATCH(C$35&amp;" ("&amp;$I$9&amp;")",'Intersection Tables'!$B$7:$N$7,0),FALSE),VLOOKUP(C$35,'Intersection Tables'!$O$7:$R$11,MATCH($I$9,'Intersection Tables'!$O$7:$R$7,0),FALSE))</f>
        <v>-9.9390000000000001</v>
      </c>
      <c r="D36" s="86">
        <f>IF('Intersection Tables'!$D$5="No",VLOOKUP($A36,'Intersection Tables'!$B$7:$N$10,MATCH(D$35&amp;" ("&amp;$I$9&amp;")",'Intersection Tables'!$B$7:$N$7,0),FALSE),VLOOKUP(D$35,'Intersection Tables'!$O$7:$R$11,MATCH($I$9,'Intersection Tables'!$O$7:$R$7,0),FALSE))</f>
        <v>0.78100000000000003</v>
      </c>
      <c r="E36" s="86">
        <f>IF('Intersection Tables'!$D$5="No",VLOOKUP($A36,'Intersection Tables'!$B$7:$N$10,MATCH(E$35&amp;" ("&amp;$I$9&amp;")",'Intersection Tables'!$B$7:$N$7,0),FALSE),VLOOKUP(E$35,'Intersection Tables'!$O$7:$R$11,MATCH($I$9,'Intersection Tables'!$O$7:$R$7,0),FALSE))</f>
        <v>0.40400000000000003</v>
      </c>
      <c r="F36" s="532">
        <f>EXP($C$36+$D$36*LN($I$10)+$E$36*LN($I$11))</f>
        <v>0.87874005744205042</v>
      </c>
      <c r="G36" s="533"/>
      <c r="H36" s="532">
        <f>IF('Intersection Tables'!$D$5="No",VLOOKUP($A36,'Intersection Tables'!$B$7:$N$10,MATCH("k ("&amp;$I$9&amp;")",'Intersection Tables'!$B$7:$N$7,0),FALSE),VLOOKUP("k",'Intersection Tables'!$O$7:$R$11,MATCH($I$9,'Intersection Tables'!$O$7:$R$7,0),FALSE))</f>
        <v>0.51200000000000001</v>
      </c>
      <c r="I36" s="460"/>
      <c r="J36" s="139">
        <f>+$L$26</f>
        <v>0.54289492595155708</v>
      </c>
      <c r="K36" s="12">
        <f>$I$18*VLOOKUP(VLOOKUP($I$12,'Intersection Tables'!$Q$37:$R$63,MATCH("Region",'Intersection Tables'!$Q$37:$R$37,0),FALSE),'Intersection Tables'!$P$28:$R$33,MATCH($I$13,'Intersection Tables'!$P$28:$R$28,0),FALSE)</f>
        <v>1</v>
      </c>
      <c r="L36" s="326">
        <f>+$F$36*$J$36*$K$36</f>
        <v>0.47706351841566896</v>
      </c>
      <c r="M36" s="531"/>
      <c r="P36" s="61"/>
      <c r="AB36" s="10"/>
      <c r="AC36" s="10"/>
      <c r="AD36" s="10"/>
      <c r="AE36" s="10"/>
      <c r="AF36" s="10"/>
      <c r="AG36" s="10"/>
      <c r="AH36" s="10"/>
      <c r="AI36" s="10"/>
      <c r="AJ36" s="10"/>
      <c r="AM36" s="18"/>
      <c r="AN36" s="18"/>
      <c r="AO36" s="18"/>
      <c r="AP36" s="18"/>
      <c r="AQ36" s="18"/>
      <c r="AR36" s="18"/>
      <c r="AS36" s="18"/>
      <c r="AT36" s="18"/>
    </row>
    <row r="37" spans="1:54">
      <c r="A37" s="259" t="s">
        <v>38</v>
      </c>
      <c r="B37" s="298"/>
      <c r="C37" s="3" t="str">
        <f>IF('Intersection Tables'!$D$5="No",VLOOKUP($A37,'Intersection Tables'!$B$7:$N$10,MATCH(C$35&amp;" ("&amp;$I$9&amp;")",'Intersection Tables'!$B$7:$N$7,0),FALSE),"--")</f>
        <v>--</v>
      </c>
      <c r="D37" s="3" t="str">
        <f>IF('Intersection Tables'!$D$5="No",VLOOKUP($A37,'Intersection Tables'!$B$7:$N$10,MATCH(D$35&amp;" ("&amp;$I$9&amp;")",'Intersection Tables'!$B$7:$N$7,0),FALSE),"--")</f>
        <v>--</v>
      </c>
      <c r="E37" s="3" t="str">
        <f>IF('Intersection Tables'!$D$5="No",VLOOKUP($A37,'Intersection Tables'!$B$7:$N$10,MATCH(E$35&amp;" ("&amp;$I$9&amp;")",'Intersection Tables'!$B$7:$N$7,0),FALSE),"--")</f>
        <v>--</v>
      </c>
      <c r="F37" s="532">
        <f>IF('Intersection Tables'!$D$5="No",EXP($C37+$D37*LN($I$10)+$E37*LN($I$11)),F$36*HLOOKUP(I$9,'Intersection Tables'!$P$17:$R$22,5,FALSE)/100)</f>
        <v>0.1379621890184019</v>
      </c>
      <c r="G37" s="533"/>
      <c r="H37" s="322">
        <f>IF('Intersection Tables'!$D$5="No",VLOOKUP($A37,'Intersection Tables'!$B$7:$N$10,MATCH("k ("&amp;$I$9&amp;")",'Intersection Tables'!$B$7:$N$7,0),FALSE),VLOOKUP("k",'Intersection Tables'!$O$7:$R$11,MATCH($I$9,'Intersection Tables'!$O$7:$R$7,0),FALSE))</f>
        <v>0.51200000000000001</v>
      </c>
      <c r="I37" s="357"/>
      <c r="J37" s="139">
        <f>+$L$27</f>
        <v>0.43935738790035594</v>
      </c>
      <c r="K37" s="12">
        <f>$I$18*VLOOKUP(VLOOKUP($I$12,'Intersection Tables'!$Q$37:$R$63,MATCH("Region",'Intersection Tables'!$Q$37:$R$37,0),FALSE),'Intersection Tables'!$P$28:$R$33,MATCH($I$13,'Intersection Tables'!$P$28:$R$28,0),FALSE)</f>
        <v>1</v>
      </c>
      <c r="L37" s="326">
        <f>+$F$37*$J$37*$K$37</f>
        <v>6.061470699614023E-2</v>
      </c>
      <c r="M37" s="531"/>
      <c r="P37" s="60"/>
      <c r="AB37" s="4"/>
      <c r="AC37" s="4"/>
      <c r="AD37" s="4"/>
      <c r="AE37" s="4"/>
      <c r="AF37" s="4"/>
      <c r="AG37" s="4"/>
      <c r="AH37" s="4"/>
      <c r="AI37" s="4"/>
      <c r="AJ37" s="4"/>
      <c r="AM37" s="18"/>
      <c r="AN37" s="18"/>
      <c r="AO37" s="18"/>
      <c r="AP37" s="18"/>
      <c r="AQ37" s="18"/>
      <c r="AR37" s="18"/>
      <c r="AS37" s="18"/>
      <c r="AT37" s="18"/>
    </row>
    <row r="38" spans="1:54" ht="15.6">
      <c r="A38" s="332" t="s">
        <v>143</v>
      </c>
      <c r="B38" s="298"/>
      <c r="C38" s="3" t="str">
        <f>IF('Intersection Tables'!$D$5="No",VLOOKUP($A38,'Intersection Tables'!$B$7:$N$10,MATCH(C$35&amp;" ("&amp;$I$9&amp;")",'Intersection Tables'!$B$7:$N$7,0),FALSE),"--")</f>
        <v>--</v>
      </c>
      <c r="D38" s="3" t="str">
        <f>IF('Intersection Tables'!$D$5="No",VLOOKUP($A38,'Intersection Tables'!$B$7:$N$10,MATCH(D$35&amp;" ("&amp;$I$9&amp;")",'Intersection Tables'!$B$7:$N$7,0),FALSE),"--")</f>
        <v>--</v>
      </c>
      <c r="E38" s="3" t="str">
        <f>IF('Intersection Tables'!$D$5="No",VLOOKUP($A38,'Intersection Tables'!$B$7:$N$10,MATCH(E$35&amp;" ("&amp;$I$9&amp;")",'Intersection Tables'!$B$7:$N$7,0),FALSE),"--")</f>
        <v>--</v>
      </c>
      <c r="F38" s="532">
        <f>IF('Intersection Tables'!$D$5="No",EXP($C38+$D38*LN($I$10)+$E38*LN($I$11)),F$36*(HLOOKUP(I$9,'Intersection Tables'!$P$17:$R$22,5,FALSE)-HLOOKUP(I$9,'Intersection Tables'!$P$17:$R$22,4,FALSE))/100)</f>
        <v>2.636220172326142E-3</v>
      </c>
      <c r="G38" s="533"/>
      <c r="H38" s="322">
        <f>IF('Intersection Tables'!$D$5="No",VLOOKUP($A38,'Intersection Tables'!$B$7:$N$10,MATCH("k ("&amp;$I$9&amp;")",'Intersection Tables'!$B$7:$N$7,0),FALSE),VLOOKUP("k",'Intersection Tables'!$O$7:$R$11,MATCH($I$9,'Intersection Tables'!$O$7:$R$7,0),FALSE))</f>
        <v>0.51200000000000001</v>
      </c>
      <c r="I38" s="357"/>
      <c r="J38" s="139">
        <f>+$L$27</f>
        <v>0.43935738790035594</v>
      </c>
      <c r="K38" s="12">
        <f>$I$18*VLOOKUP(VLOOKUP($I$12,'Intersection Tables'!$Q$37:$R$63,MATCH("Region",'Intersection Tables'!$Q$37:$R$37,0),FALSE),'Intersection Tables'!$P$28:$R$33,MATCH($I$13,'Intersection Tables'!$P$28:$R$28,0),FALSE)</f>
        <v>1</v>
      </c>
      <c r="L38" s="326">
        <f>+$F$38*$J$38*$K$38</f>
        <v>1.15824280884344E-3</v>
      </c>
      <c r="M38" s="531"/>
      <c r="P38" s="61"/>
      <c r="AB38" s="10"/>
      <c r="AC38" s="10"/>
      <c r="AD38" s="10"/>
      <c r="AE38" s="10"/>
      <c r="AF38" s="10"/>
      <c r="AG38" s="10"/>
      <c r="AH38" s="10"/>
      <c r="AI38" s="10"/>
      <c r="AJ38" s="10"/>
      <c r="AM38" s="18"/>
      <c r="AN38" s="18"/>
      <c r="AO38" s="18"/>
      <c r="AP38" s="18"/>
      <c r="AQ38" s="18"/>
      <c r="AR38" s="18"/>
      <c r="AS38" s="18"/>
      <c r="AT38" s="18"/>
    </row>
    <row r="39" spans="1:54" ht="16.5" customHeight="1">
      <c r="A39" s="352" t="s">
        <v>39</v>
      </c>
      <c r="B39" s="353"/>
      <c r="C39" s="350" t="s">
        <v>15</v>
      </c>
      <c r="D39" s="350" t="s">
        <v>15</v>
      </c>
      <c r="E39" s="350" t="s">
        <v>15</v>
      </c>
      <c r="F39" s="328" t="s">
        <v>15</v>
      </c>
      <c r="G39" s="329"/>
      <c r="H39" s="328" t="s">
        <v>15</v>
      </c>
      <c r="I39" s="329"/>
      <c r="J39" s="346" t="s">
        <v>15</v>
      </c>
      <c r="K39" s="350" t="s">
        <v>15</v>
      </c>
      <c r="L39" s="563" t="s">
        <v>144</v>
      </c>
      <c r="M39" s="387"/>
      <c r="P39" s="61"/>
      <c r="AB39" s="63"/>
      <c r="AC39" s="10"/>
      <c r="AD39" s="10"/>
      <c r="AE39" s="10"/>
      <c r="AF39" s="10"/>
      <c r="AG39" s="10"/>
      <c r="AH39" s="10"/>
      <c r="AI39" s="10"/>
      <c r="AJ39" s="10"/>
      <c r="AM39" s="45"/>
      <c r="AN39" s="39"/>
      <c r="AO39" s="39"/>
      <c r="AP39" s="39"/>
      <c r="AQ39" s="39"/>
      <c r="AR39" s="39"/>
      <c r="AS39" s="69"/>
    </row>
    <row r="40" spans="1:54" ht="15.75" customHeight="1" thickBot="1">
      <c r="A40" s="354"/>
      <c r="B40" s="355"/>
      <c r="C40" s="351"/>
      <c r="D40" s="351"/>
      <c r="E40" s="351"/>
      <c r="F40" s="330"/>
      <c r="G40" s="331"/>
      <c r="H40" s="330"/>
      <c r="I40" s="331"/>
      <c r="J40" s="348"/>
      <c r="K40" s="351"/>
      <c r="L40" s="344">
        <f>+$L$36-$L$37</f>
        <v>0.41644881141952872</v>
      </c>
      <c r="M40" s="309"/>
      <c r="P40" s="61"/>
      <c r="AB40" s="63"/>
      <c r="AC40" s="10"/>
      <c r="AD40" s="10"/>
      <c r="AE40" s="10"/>
      <c r="AF40" s="10"/>
      <c r="AG40" s="10"/>
      <c r="AH40" s="10"/>
      <c r="AI40" s="10"/>
      <c r="AJ40" s="10"/>
      <c r="AM40" s="45"/>
      <c r="AN40" s="39"/>
      <c r="AO40" s="39"/>
      <c r="AP40" s="39"/>
      <c r="AQ40" s="39"/>
      <c r="AR40" s="39"/>
      <c r="AS40" s="69"/>
    </row>
    <row r="41" spans="1:54">
      <c r="A41" s="333" t="s">
        <v>145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46"/>
      <c r="P41" s="61"/>
      <c r="AB41" s="63"/>
      <c r="AC41" s="10"/>
      <c r="AD41" s="10"/>
      <c r="AE41" s="10"/>
      <c r="AF41" s="10"/>
      <c r="AG41" s="10"/>
      <c r="AH41" s="10"/>
      <c r="AI41" s="10"/>
      <c r="AJ41" s="10"/>
      <c r="AM41" s="45"/>
      <c r="AN41" s="39"/>
      <c r="AO41" s="39"/>
      <c r="AP41" s="39"/>
      <c r="AQ41" s="39"/>
      <c r="AR41" s="39"/>
      <c r="AS41" s="69"/>
    </row>
    <row r="42" spans="1:54" ht="13.5" customHeight="1">
      <c r="A42" s="35"/>
      <c r="B42" s="35"/>
      <c r="C42" s="84"/>
      <c r="D42" s="84"/>
      <c r="E42" s="35"/>
      <c r="F42" s="35"/>
      <c r="G42" s="35"/>
      <c r="H42" s="36"/>
      <c r="I42" s="1"/>
      <c r="J42" s="35"/>
      <c r="K42" s="35"/>
      <c r="L42" s="35"/>
      <c r="M42" s="35"/>
      <c r="P42" s="61"/>
      <c r="AB42" s="10"/>
      <c r="AC42" s="10"/>
      <c r="AD42" s="10"/>
      <c r="AE42" s="10"/>
      <c r="AF42" s="10"/>
      <c r="AG42" s="10"/>
      <c r="AH42" s="10"/>
      <c r="AI42" s="10"/>
      <c r="AJ42" s="10"/>
      <c r="AM42" s="39"/>
      <c r="AN42" s="39"/>
      <c r="AO42" s="39"/>
      <c r="AP42" s="39"/>
      <c r="AQ42" s="39"/>
      <c r="AR42" s="39"/>
      <c r="AS42" s="69"/>
      <c r="AT42" s="47"/>
      <c r="AU42" s="47"/>
      <c r="AV42" s="47"/>
      <c r="AW42" s="47"/>
      <c r="AX42" s="47"/>
      <c r="AY42" s="47"/>
      <c r="AZ42" s="47"/>
      <c r="BA42" s="47"/>
      <c r="BB42" s="47"/>
    </row>
    <row r="43" spans="1:54" ht="13.8" thickBo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40"/>
      <c r="P43" s="61"/>
      <c r="AB43" s="10"/>
      <c r="AC43" s="10"/>
      <c r="AD43" s="10"/>
      <c r="AE43" s="10"/>
      <c r="AF43" s="10"/>
      <c r="AG43" s="10"/>
      <c r="AH43" s="10"/>
      <c r="AI43" s="10"/>
      <c r="AJ43" s="10"/>
      <c r="AM43" s="37"/>
      <c r="AP43" s="4"/>
      <c r="AT43" s="1"/>
      <c r="AY43" s="1"/>
      <c r="AZ43" s="1"/>
      <c r="BA43" s="1"/>
      <c r="BB43" s="1"/>
    </row>
    <row r="44" spans="1:54" ht="14.4" thickTop="1" thickBot="1">
      <c r="A44" s="233" t="s">
        <v>212</v>
      </c>
      <c r="B44" s="234"/>
      <c r="C44" s="234"/>
      <c r="D44" s="234"/>
      <c r="E44" s="234"/>
      <c r="F44" s="234"/>
      <c r="G44" s="234"/>
      <c r="H44" s="335"/>
      <c r="I44" s="335"/>
      <c r="J44" s="335"/>
      <c r="K44" s="335"/>
      <c r="L44" s="335"/>
      <c r="M44" s="335"/>
      <c r="P44" s="61"/>
      <c r="AB44" s="10"/>
      <c r="AC44" s="10"/>
      <c r="AD44" s="10"/>
      <c r="AE44" s="10"/>
      <c r="AF44" s="10"/>
      <c r="AG44" s="10"/>
      <c r="AH44" s="10"/>
      <c r="AI44" s="10"/>
      <c r="AJ44" s="10"/>
      <c r="AM44" s="48"/>
      <c r="AN44" s="46"/>
      <c r="AO44" s="1"/>
      <c r="AP44" s="8"/>
      <c r="AQ44" s="4"/>
      <c r="AR44" s="47"/>
      <c r="AT44" s="4"/>
      <c r="AY44" s="4"/>
      <c r="AZ44" s="4"/>
      <c r="BA44" s="4"/>
    </row>
    <row r="45" spans="1:54" ht="12.75" customHeight="1">
      <c r="A45" s="336" t="s">
        <v>17</v>
      </c>
      <c r="B45" s="337"/>
      <c r="C45" s="5" t="s">
        <v>18</v>
      </c>
      <c r="D45" s="338" t="s">
        <v>19</v>
      </c>
      <c r="E45" s="282"/>
      <c r="F45" s="58" t="s">
        <v>20</v>
      </c>
      <c r="G45" s="339" t="s">
        <v>21</v>
      </c>
      <c r="H45" s="340"/>
      <c r="I45" s="58" t="s">
        <v>22</v>
      </c>
      <c r="J45" s="23" t="s">
        <v>23</v>
      </c>
      <c r="K45" s="58" t="s">
        <v>24</v>
      </c>
      <c r="L45" s="342" t="s">
        <v>25</v>
      </c>
      <c r="M45" s="343"/>
      <c r="P45" s="61"/>
      <c r="AB45" s="10"/>
      <c r="AC45" s="10"/>
      <c r="AD45" s="10"/>
      <c r="AE45" s="10"/>
      <c r="AF45" s="10"/>
      <c r="AG45" s="10"/>
      <c r="AH45" s="10"/>
      <c r="AI45" s="10"/>
      <c r="AJ45" s="10"/>
      <c r="AM45" s="29"/>
      <c r="AN45" s="1"/>
      <c r="AP45" s="49"/>
      <c r="AQ45" s="1"/>
      <c r="AR45" s="49"/>
      <c r="AS45" s="49"/>
      <c r="AY45" s="4"/>
      <c r="AZ45" s="4"/>
      <c r="BA45" s="4"/>
    </row>
    <row r="46" spans="1:54" ht="16.2" customHeight="1">
      <c r="A46" s="231" t="s">
        <v>40</v>
      </c>
      <c r="B46" s="312"/>
      <c r="C46" s="312" t="s">
        <v>42</v>
      </c>
      <c r="D46" s="312" t="s">
        <v>106</v>
      </c>
      <c r="E46" s="298"/>
      <c r="F46" s="312" t="s">
        <v>41</v>
      </c>
      <c r="G46" s="312" t="s">
        <v>107</v>
      </c>
      <c r="H46" s="312"/>
      <c r="I46" s="312" t="s">
        <v>151</v>
      </c>
      <c r="J46" s="553" t="s">
        <v>215</v>
      </c>
      <c r="K46" s="312" t="s">
        <v>152</v>
      </c>
      <c r="L46" s="312" t="s">
        <v>217</v>
      </c>
      <c r="M46" s="230"/>
      <c r="P46" s="61"/>
      <c r="AB46" s="10"/>
      <c r="AC46" s="10"/>
      <c r="AD46" s="10"/>
      <c r="AE46" s="10"/>
      <c r="AF46" s="10"/>
      <c r="AG46" s="10"/>
      <c r="AH46" s="10"/>
      <c r="AI46" s="10"/>
      <c r="AJ46" s="10"/>
      <c r="AM46" s="29"/>
      <c r="AN46" s="1"/>
      <c r="AP46" s="49"/>
      <c r="AQ46" s="1"/>
      <c r="AR46" s="49"/>
      <c r="AS46" s="49"/>
      <c r="AY46" s="4"/>
      <c r="AZ46" s="4"/>
      <c r="BA46" s="8"/>
    </row>
    <row r="47" spans="1:54" ht="16.2" customHeight="1">
      <c r="A47" s="231"/>
      <c r="B47" s="312"/>
      <c r="C47" s="297"/>
      <c r="D47" s="298"/>
      <c r="E47" s="298"/>
      <c r="F47" s="297"/>
      <c r="G47" s="297"/>
      <c r="H47" s="297"/>
      <c r="I47" s="297"/>
      <c r="J47" s="554"/>
      <c r="K47" s="297"/>
      <c r="L47" s="297"/>
      <c r="M47" s="271"/>
      <c r="AM47" s="29"/>
      <c r="AN47" s="1"/>
      <c r="AP47" s="36"/>
      <c r="AQ47" s="1"/>
      <c r="AR47" s="49"/>
      <c r="AS47" s="49"/>
      <c r="AY47" s="1"/>
      <c r="AZ47" s="9"/>
      <c r="BA47" s="6"/>
    </row>
    <row r="48" spans="1:54" ht="16.2" customHeight="1">
      <c r="A48" s="357"/>
      <c r="B48" s="297"/>
      <c r="C48" s="297"/>
      <c r="D48" s="298"/>
      <c r="E48" s="298"/>
      <c r="F48" s="297"/>
      <c r="G48" s="297"/>
      <c r="H48" s="297"/>
      <c r="I48" s="297"/>
      <c r="J48" s="555"/>
      <c r="K48" s="297"/>
      <c r="L48" s="297"/>
      <c r="M48" s="271"/>
    </row>
    <row r="49" spans="1:14" ht="16.5" customHeight="1">
      <c r="A49" s="357"/>
      <c r="B49" s="297"/>
      <c r="C49" s="358" t="s">
        <v>397</v>
      </c>
      <c r="D49" s="359" t="s">
        <v>213</v>
      </c>
      <c r="E49" s="360"/>
      <c r="F49" s="358" t="s">
        <v>398</v>
      </c>
      <c r="G49" s="359" t="s">
        <v>214</v>
      </c>
      <c r="H49" s="360"/>
      <c r="I49" s="358" t="s">
        <v>397</v>
      </c>
      <c r="J49" s="545" t="s">
        <v>216</v>
      </c>
      <c r="K49" s="358" t="s">
        <v>397</v>
      </c>
      <c r="L49" s="359" t="s">
        <v>218</v>
      </c>
      <c r="M49" s="361"/>
    </row>
    <row r="50" spans="1:14">
      <c r="A50" s="357"/>
      <c r="B50" s="297"/>
      <c r="C50" s="297"/>
      <c r="D50" s="297"/>
      <c r="E50" s="297"/>
      <c r="F50" s="297"/>
      <c r="G50" s="297"/>
      <c r="H50" s="297"/>
      <c r="I50" s="297"/>
      <c r="J50" s="546"/>
      <c r="K50" s="297"/>
      <c r="L50" s="297"/>
      <c r="M50" s="271"/>
    </row>
    <row r="51" spans="1:14">
      <c r="A51" s="259" t="s">
        <v>37</v>
      </c>
      <c r="B51" s="298"/>
      <c r="C51" s="3">
        <f>IF('Intersection Tables'!$D$18="No",IF($I$9="3ST",SUM('Intersection Tables'!$E$21:$E$26),IF($I$9="4ST",SUM('Intersection Tables'!$E$29:$E$34),SUM('Intersection Tables'!$E$37:$E$42))),IF($I$9="3ST",SUM('Intersection Tables'!$I$21:$I$26),IF($I$9="4ST",SUM('Intersection Tables'!$I$29:$I$34),SUM('Intersection Tables'!$I$37:$I$42))))</f>
        <v>1</v>
      </c>
      <c r="D51" s="322">
        <f>+L36</f>
        <v>0.47706351841566896</v>
      </c>
      <c r="E51" s="323"/>
      <c r="F51" s="3">
        <f>IF('Intersection Tables'!$D$18="No",IF($I$9="3ST",SUM('Intersection Tables'!$F$21:$F$26),IF($I$9="4ST",SUM('Intersection Tables'!$F$29:$F$34),SUM('Intersection Tables'!$F$37:$F$42))),IF($I$9="3ST",SUM('Intersection Tables'!$J$21:$J$26),IF($I$9="4ST",SUM('Intersection Tables'!$J$29:$J$34),SUM('Intersection Tables'!$J$37:$J$42))))</f>
        <v>1</v>
      </c>
      <c r="G51" s="322">
        <f>+L37</f>
        <v>6.061470699614023E-2</v>
      </c>
      <c r="H51" s="323"/>
      <c r="I51" s="3">
        <f>IF('Intersection Tables'!$D$18="No",IF($I$9="3ST",SUM('Intersection Tables'!$G$21:$G$26),IF($I$9="4ST",SUM('Intersection Tables'!$G$29:$G$34),SUM('Intersection Tables'!$G$37:$G$42))),IF($I$9="3ST",SUM('Intersection Tables'!$K$21:$K$26),IF($I$9="4ST",SUM('Intersection Tables'!$K$29:$K$34),SUM('Intersection Tables'!$K$37:$K$42))))</f>
        <v>0.99999999999999989</v>
      </c>
      <c r="J51" s="57">
        <f>+L38</f>
        <v>1.15824280884344E-3</v>
      </c>
      <c r="K51" s="3">
        <f>IF('Intersection Tables'!$D$18="No",IF($I$9="3ST",SUM('Intersection Tables'!$H$21:$H$26),IF($I$9="4ST",SUM('Intersection Tables'!$H$29:$H$34),SUM('Intersection Tables'!$H$37:$H$42))),IF($I$9="3ST",SUM('Intersection Tables'!$L$21:$L$26),IF($I$9="4ST",SUM('Intersection Tables'!$L$29:$L$34),SUM('Intersection Tables'!$L$37:$L$42))))</f>
        <v>1</v>
      </c>
      <c r="L51" s="322">
        <f>+L40</f>
        <v>0.41644881141952872</v>
      </c>
      <c r="M51" s="356"/>
    </row>
    <row r="52" spans="1:14" ht="16.8">
      <c r="A52" s="362"/>
      <c r="B52" s="363"/>
      <c r="C52" s="12"/>
      <c r="D52" s="321" t="s">
        <v>158</v>
      </c>
      <c r="E52" s="363"/>
      <c r="F52" s="12"/>
      <c r="G52" s="364" t="s">
        <v>159</v>
      </c>
      <c r="H52" s="298"/>
      <c r="I52" s="12"/>
      <c r="J52" s="56" t="s">
        <v>160</v>
      </c>
      <c r="K52" s="12"/>
      <c r="L52" s="321" t="s">
        <v>161</v>
      </c>
      <c r="M52" s="271"/>
    </row>
    <row r="53" spans="1:14">
      <c r="A53" s="386" t="s">
        <v>44</v>
      </c>
      <c r="B53" s="298"/>
      <c r="C53" s="3">
        <f>IF('Intersection Tables'!$D$18="No",(IF($I$9="3ST",'Intersection Tables'!E21,(IF($I$9="4ST",'Intersection Tables'!E29,'Intersection Tables'!E37)))),(IF($I$9="3ST",'Intersection Tables'!I21,(IF($I$9="4ST",'Intersection Tables'!I29,'Intersection Tables'!I37)))))</f>
        <v>2.9000000000000001E-2</v>
      </c>
      <c r="D53" s="322">
        <f t="shared" ref="D53:D58" si="0">+C53*$D$51</f>
        <v>1.38348420340544E-2</v>
      </c>
      <c r="E53" s="323"/>
      <c r="F53" s="3">
        <f>IF('Intersection Tables'!$D$18="No",(IF($I$9="3ST",'Intersection Tables'!F21,(IF($I$9="4ST",'Intersection Tables'!F29,'Intersection Tables'!F37)))),(IF($I$9="3ST",'Intersection Tables'!J21,(IF($I$9="4ST",'Intersection Tables'!J29,'Intersection Tables'!J37)))))</f>
        <v>4.2999999999999997E-2</v>
      </c>
      <c r="G53" s="322">
        <f t="shared" ref="G53:G58" si="1">+F53*$G$51</f>
        <v>2.6064324008340297E-3</v>
      </c>
      <c r="H53" s="323"/>
      <c r="I53" s="3">
        <f>IF('Intersection Tables'!$D$18="No",(IF($I$9="3ST",'Intersection Tables'!G21,(IF($I$9="4ST",'Intersection Tables'!G29,'Intersection Tables'!G37)))),(IF($I$9="3ST",'Intersection Tables'!K21,(IF($I$9="4ST",'Intersection Tables'!K29,'Intersection Tables'!K37)))))</f>
        <v>5.1999999999999998E-2</v>
      </c>
      <c r="J53" s="57">
        <f t="shared" ref="J53:J58" si="2">+I53*$J$51</f>
        <v>6.0228626059858876E-5</v>
      </c>
      <c r="K53" s="3">
        <f>IF('Intersection Tables'!$D$18="No",(IF($I$9="3ST",'Intersection Tables'!H21,(IF($I$9="4ST",'Intersection Tables'!H29,'Intersection Tables'!H37)))),(IF($I$9="3ST",'Intersection Tables'!L21,(IF($I$9="4ST",'Intersection Tables'!L29,'Intersection Tables'!L37)))))</f>
        <v>0.02</v>
      </c>
      <c r="L53" s="322">
        <f t="shared" ref="L53:L58" si="3">+K53*$L$51</f>
        <v>8.3289762283905739E-3</v>
      </c>
      <c r="M53" s="356"/>
    </row>
    <row r="54" spans="1:14">
      <c r="A54" s="386" t="s">
        <v>46</v>
      </c>
      <c r="B54" s="298"/>
      <c r="C54" s="3">
        <f>IF('Intersection Tables'!$D$18="No",(IF($I$9="3ST",'Intersection Tables'!E22,(IF($I$9="4ST",'Intersection Tables'!E30,'Intersection Tables'!E38)))),(IF($I$9="3ST",'Intersection Tables'!I22,(IF($I$9="4ST",'Intersection Tables'!I30,'Intersection Tables'!I38)))))</f>
        <v>0.13300000000000001</v>
      </c>
      <c r="D54" s="322">
        <f t="shared" si="0"/>
        <v>6.3449447949283977E-2</v>
      </c>
      <c r="E54" s="323"/>
      <c r="F54" s="3">
        <f>IF('Intersection Tables'!$D$18="No",(IF($I$9="3ST",'Intersection Tables'!F22,(IF($I$9="4ST",'Intersection Tables'!F30,'Intersection Tables'!F38)))),(IF($I$9="3ST",'Intersection Tables'!J22,(IF($I$9="4ST",'Intersection Tables'!J30,'Intersection Tables'!J38)))))</f>
        <v>5.8000000000000003E-2</v>
      </c>
      <c r="G54" s="322">
        <f t="shared" si="1"/>
        <v>3.5156530057761336E-3</v>
      </c>
      <c r="H54" s="323"/>
      <c r="I54" s="3">
        <f>IF('Intersection Tables'!$D$18="No",(IF($I$9="3ST",'Intersection Tables'!G22,(IF($I$9="4ST",'Intersection Tables'!G30,'Intersection Tables'!G38)))),(IF($I$9="3ST",'Intersection Tables'!K22,(IF($I$9="4ST",'Intersection Tables'!K30,'Intersection Tables'!K38)))))</f>
        <v>5.7000000000000002E-2</v>
      </c>
      <c r="J54" s="57">
        <f t="shared" si="2"/>
        <v>6.6019840104076087E-5</v>
      </c>
      <c r="K54" s="3">
        <f>IF('Intersection Tables'!$D$18="No",(IF($I$9="3ST",'Intersection Tables'!H22,(IF($I$9="4ST",'Intersection Tables'!H30,'Intersection Tables'!H38)))),(IF($I$9="3ST",'Intersection Tables'!L22,(IF($I$9="4ST",'Intersection Tables'!L30,'Intersection Tables'!L38)))))</f>
        <v>0.17899999999999999</v>
      </c>
      <c r="L54" s="322">
        <f t="shared" si="3"/>
        <v>7.4544337244095635E-2</v>
      </c>
      <c r="M54" s="356"/>
    </row>
    <row r="55" spans="1:14">
      <c r="A55" s="365" t="s">
        <v>45</v>
      </c>
      <c r="B55" s="298"/>
      <c r="C55" s="3">
        <f>IF('Intersection Tables'!$D$18="No",(IF($I$9="3ST",'Intersection Tables'!E23,(IF($I$9="4ST",'Intersection Tables'!E31,'Intersection Tables'!E39)))),(IF($I$9="3ST",'Intersection Tables'!I23,(IF($I$9="4ST",'Intersection Tables'!I31,'Intersection Tables'!I39)))))</f>
        <v>0.28899999999999998</v>
      </c>
      <c r="D55" s="322">
        <f t="shared" si="0"/>
        <v>0.13787135682212831</v>
      </c>
      <c r="E55" s="323"/>
      <c r="F55" s="3">
        <f>IF('Intersection Tables'!$D$18="No",(IF($I$9="3ST",'Intersection Tables'!F23,(IF($I$9="4ST",'Intersection Tables'!F31,'Intersection Tables'!F39)))),(IF($I$9="3ST",'Intersection Tables'!J23,(IF($I$9="4ST",'Intersection Tables'!J31,'Intersection Tables'!J39)))))</f>
        <v>0.247</v>
      </c>
      <c r="G55" s="322">
        <f t="shared" si="1"/>
        <v>1.4971832628046636E-2</v>
      </c>
      <c r="H55" s="323"/>
      <c r="I55" s="3">
        <f>IF('Intersection Tables'!$D$18="No",(IF($I$9="3ST",'Intersection Tables'!G23,(IF($I$9="4ST",'Intersection Tables'!G31,'Intersection Tables'!G39)))),(IF($I$9="3ST",'Intersection Tables'!K23,(IF($I$9="4ST",'Intersection Tables'!K31,'Intersection Tables'!K39)))))</f>
        <v>0.14199999999999999</v>
      </c>
      <c r="J55" s="57">
        <f t="shared" si="2"/>
        <v>1.6447047885576846E-4</v>
      </c>
      <c r="K55" s="3">
        <f>IF('Intersection Tables'!$D$18="No",(IF($I$9="3ST",'Intersection Tables'!H23,(IF($I$9="4ST",'Intersection Tables'!H31,'Intersection Tables'!H39)))),(IF($I$9="3ST",'Intersection Tables'!L23,(IF($I$9="4ST",'Intersection Tables'!L31,'Intersection Tables'!L39)))))</f>
        <v>0.315</v>
      </c>
      <c r="L55" s="322">
        <f t="shared" si="3"/>
        <v>0.13118137559715154</v>
      </c>
      <c r="M55" s="356"/>
    </row>
    <row r="56" spans="1:14">
      <c r="A56" s="386" t="s">
        <v>43</v>
      </c>
      <c r="B56" s="298"/>
      <c r="C56" s="3">
        <f>IF('Intersection Tables'!$D$18="No",(IF($I$9="3ST",'Intersection Tables'!E24,(IF($I$9="4ST",'Intersection Tables'!E32,'Intersection Tables'!E40)))),(IF($I$9="3ST",'Intersection Tables'!I24,(IF($I$9="4ST",'Intersection Tables'!I32,'Intersection Tables'!I40)))))</f>
        <v>0.26300000000000001</v>
      </c>
      <c r="D56" s="322">
        <f t="shared" si="0"/>
        <v>0.12546770534332094</v>
      </c>
      <c r="E56" s="323"/>
      <c r="F56" s="3">
        <f>IF('Intersection Tables'!$D$18="No",(IF($I$9="3ST",'Intersection Tables'!F24,(IF($I$9="4ST",'Intersection Tables'!F32,'Intersection Tables'!F40)))),(IF($I$9="3ST",'Intersection Tables'!J24,(IF($I$9="4ST",'Intersection Tables'!J32,'Intersection Tables'!J40)))))</f>
        <v>0.36899999999999999</v>
      </c>
      <c r="G56" s="322">
        <f t="shared" si="1"/>
        <v>2.2366826881575746E-2</v>
      </c>
      <c r="H56" s="323"/>
      <c r="I56" s="3">
        <f>IF('Intersection Tables'!$D$18="No",(IF($I$9="3ST",'Intersection Tables'!G24,(IF($I$9="4ST",'Intersection Tables'!G32,'Intersection Tables'!G40)))),(IF($I$9="3ST",'Intersection Tables'!K24,(IF($I$9="4ST",'Intersection Tables'!K32,'Intersection Tables'!K40)))))</f>
        <v>0.38100000000000001</v>
      </c>
      <c r="J56" s="57">
        <f t="shared" si="2"/>
        <v>4.4129051016935066E-4</v>
      </c>
      <c r="K56" s="3">
        <f>IF('Intersection Tables'!$D$18="No",(IF($I$9="3ST",'Intersection Tables'!H24,(IF($I$9="4ST",'Intersection Tables'!H32,'Intersection Tables'!H40)))),(IF($I$9="3ST",'Intersection Tables'!L24,(IF($I$9="4ST",'Intersection Tables'!L32,'Intersection Tables'!L40)))))</f>
        <v>0.19800000000000001</v>
      </c>
      <c r="L56" s="322">
        <f t="shared" si="3"/>
        <v>8.2456864661066692E-2</v>
      </c>
      <c r="M56" s="356"/>
    </row>
    <row r="57" spans="1:14">
      <c r="A57" s="386" t="s">
        <v>162</v>
      </c>
      <c r="B57" s="298"/>
      <c r="C57" s="3">
        <f>IF('Intersection Tables'!$D$18="No",(IF($I$9="3ST",'Intersection Tables'!E25,(IF($I$9="4ST",'Intersection Tables'!E33,'Intersection Tables'!E41)))),(IF($I$9="3ST",'Intersection Tables'!I25,(IF($I$9="4ST",'Intersection Tables'!I33,'Intersection Tables'!I41)))))</f>
        <v>0.23400000000000001</v>
      </c>
      <c r="D57" s="322">
        <f t="shared" si="0"/>
        <v>0.11163286330926654</v>
      </c>
      <c r="E57" s="323"/>
      <c r="F57" s="3">
        <f>IF('Intersection Tables'!$D$18="No",(IF($I$9="3ST",'Intersection Tables'!F25,(IF($I$9="4ST",'Intersection Tables'!F33,'Intersection Tables'!F41)))),(IF($I$9="3ST",'Intersection Tables'!J25,(IF($I$9="4ST",'Intersection Tables'!J33,'Intersection Tables'!J41)))))</f>
        <v>0.219</v>
      </c>
      <c r="G57" s="322">
        <f t="shared" si="1"/>
        <v>1.3274620832154711E-2</v>
      </c>
      <c r="H57" s="323"/>
      <c r="I57" s="3">
        <f>IF('Intersection Tables'!$D$18="No",(IF($I$9="3ST",'Intersection Tables'!G25,(IF($I$9="4ST",'Intersection Tables'!G33,'Intersection Tables'!G41)))),(IF($I$9="3ST",'Intersection Tables'!K25,(IF($I$9="4ST",'Intersection Tables'!K33,'Intersection Tables'!K41)))))</f>
        <v>0.28399999999999997</v>
      </c>
      <c r="J57" s="57">
        <f t="shared" si="2"/>
        <v>3.2894095771153692E-4</v>
      </c>
      <c r="K57" s="3">
        <f>IF('Intersection Tables'!$D$18="No",(IF($I$9="3ST",'Intersection Tables'!H25,(IF($I$9="4ST",'Intersection Tables'!H33,'Intersection Tables'!H41)))),(IF($I$9="3ST",'Intersection Tables'!L25,(IF($I$9="4ST",'Intersection Tables'!L33,'Intersection Tables'!L41)))))</f>
        <v>0.24399999999999999</v>
      </c>
      <c r="L57" s="322">
        <f t="shared" si="3"/>
        <v>0.10161350998636501</v>
      </c>
      <c r="M57" s="356"/>
    </row>
    <row r="58" spans="1:14" ht="13.8" thickBot="1">
      <c r="A58" s="366" t="s">
        <v>163</v>
      </c>
      <c r="B58" s="367"/>
      <c r="C58" s="3">
        <f>IF('Intersection Tables'!$D$18="No",(IF($I$9="3ST",'Intersection Tables'!E26,(IF($I$9="4ST",'Intersection Tables'!E34,'Intersection Tables'!E42)))),(IF($I$9="3ST",'Intersection Tables'!I26,(IF($I$9="4ST",'Intersection Tables'!I34,'Intersection Tables'!I42)))))</f>
        <v>5.1999999999999998E-2</v>
      </c>
      <c r="D58" s="322">
        <f t="shared" si="0"/>
        <v>2.4807302957614786E-2</v>
      </c>
      <c r="E58" s="323"/>
      <c r="F58" s="3">
        <f>IF('Intersection Tables'!$D$18="No",(IF($I$9="3ST",'Intersection Tables'!F26,(IF($I$9="4ST",'Intersection Tables'!F34,'Intersection Tables'!F42)))),(IF($I$9="3ST",'Intersection Tables'!J26,(IF($I$9="4ST",'Intersection Tables'!J34,'Intersection Tables'!J42)))))</f>
        <v>6.4000000000000001E-2</v>
      </c>
      <c r="G58" s="322">
        <f t="shared" si="1"/>
        <v>3.8793412477529749E-3</v>
      </c>
      <c r="H58" s="323"/>
      <c r="I58" s="3">
        <f>IF('Intersection Tables'!$D$18="No",(IF($I$9="3ST",'Intersection Tables'!G26,(IF($I$9="4ST",'Intersection Tables'!G34,'Intersection Tables'!G42)))),(IF($I$9="3ST",'Intersection Tables'!K26,(IF($I$9="4ST",'Intersection Tables'!K34,'Intersection Tables'!K42)))))</f>
        <v>8.4000000000000005E-2</v>
      </c>
      <c r="J58" s="57">
        <f t="shared" si="2"/>
        <v>9.7292395942848972E-5</v>
      </c>
      <c r="K58" s="3">
        <f>IF('Intersection Tables'!$D$18="No",(IF($I$9="3ST",'Intersection Tables'!H26,(IF($I$9="4ST",'Intersection Tables'!H34,'Intersection Tables'!H42)))),(IF($I$9="3ST",'Intersection Tables'!L26,(IF($I$9="4ST",'Intersection Tables'!L34,'Intersection Tables'!L42)))))</f>
        <v>4.3999999999999997E-2</v>
      </c>
      <c r="L58" s="322">
        <f t="shared" si="3"/>
        <v>1.8323747702459262E-2</v>
      </c>
      <c r="M58" s="356"/>
    </row>
    <row r="59" spans="1:14">
      <c r="A59" s="333" t="s">
        <v>145</v>
      </c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46"/>
    </row>
    <row r="60" spans="1:14">
      <c r="C60" s="36"/>
      <c r="D60" s="36"/>
      <c r="E60" s="36"/>
      <c r="F60" s="36"/>
      <c r="G60" s="1"/>
      <c r="H60" s="36"/>
      <c r="I60" s="36"/>
      <c r="J60" s="36"/>
      <c r="K60" s="1"/>
      <c r="L60" s="36"/>
      <c r="M60" s="36"/>
    </row>
    <row r="61" spans="1:14">
      <c r="A61" s="4"/>
      <c r="B61" s="1"/>
      <c r="C61" s="1"/>
      <c r="D61" s="1"/>
      <c r="E61" s="1"/>
      <c r="F61" s="1"/>
      <c r="G61" s="1"/>
    </row>
    <row r="62" spans="1:14" ht="13.8" thickBot="1"/>
    <row r="63" spans="1:14" ht="14.4" thickTop="1" thickBot="1">
      <c r="C63" s="233" t="s">
        <v>219</v>
      </c>
      <c r="D63" s="233"/>
      <c r="E63" s="233"/>
      <c r="F63" s="233"/>
      <c r="G63" s="233"/>
      <c r="H63" s="233"/>
      <c r="I63" s="233"/>
      <c r="J63" s="233"/>
      <c r="K63" s="37"/>
      <c r="L63" s="37"/>
      <c r="M63" s="37"/>
    </row>
    <row r="64" spans="1:14">
      <c r="C64" s="282" t="s">
        <v>17</v>
      </c>
      <c r="D64" s="284"/>
      <c r="E64" s="284"/>
      <c r="F64" s="283"/>
      <c r="G64" s="307" t="s">
        <v>18</v>
      </c>
      <c r="H64" s="369"/>
      <c r="I64" s="369"/>
      <c r="J64" s="376"/>
      <c r="K64" s="1"/>
      <c r="L64" s="1"/>
      <c r="M64" s="1"/>
    </row>
    <row r="65" spans="1:14">
      <c r="C65" s="231" t="s">
        <v>47</v>
      </c>
      <c r="D65" s="312"/>
      <c r="E65" s="312"/>
      <c r="F65" s="312"/>
      <c r="G65" s="380" t="s">
        <v>108</v>
      </c>
      <c r="H65" s="380"/>
      <c r="I65" s="380"/>
      <c r="J65" s="267"/>
      <c r="K65" s="4"/>
      <c r="L65" s="4"/>
      <c r="M65" s="4"/>
    </row>
    <row r="66" spans="1:14">
      <c r="C66" s="561"/>
      <c r="D66" s="562"/>
      <c r="E66" s="562"/>
      <c r="F66" s="562"/>
      <c r="G66" s="364" t="s">
        <v>220</v>
      </c>
      <c r="H66" s="298"/>
      <c r="I66" s="298"/>
      <c r="J66" s="294"/>
      <c r="K66" s="22"/>
    </row>
    <row r="67" spans="1:14">
      <c r="C67" s="372" t="s">
        <v>37</v>
      </c>
      <c r="D67" s="373"/>
      <c r="E67" s="373"/>
      <c r="F67" s="298"/>
      <c r="G67" s="556">
        <f>+L36</f>
        <v>0.47706351841566896</v>
      </c>
      <c r="H67" s="557"/>
      <c r="I67" s="557"/>
      <c r="J67" s="557"/>
      <c r="K67" s="10"/>
      <c r="L67" s="10"/>
      <c r="M67" s="10"/>
    </row>
    <row r="68" spans="1:14">
      <c r="C68" s="372" t="s">
        <v>38</v>
      </c>
      <c r="D68" s="373"/>
      <c r="E68" s="373"/>
      <c r="F68" s="298"/>
      <c r="G68" s="556">
        <f>+L37</f>
        <v>6.061470699614023E-2</v>
      </c>
      <c r="H68" s="557"/>
      <c r="I68" s="557"/>
      <c r="J68" s="557"/>
      <c r="K68" s="10"/>
      <c r="L68" s="10"/>
      <c r="M68" s="10"/>
    </row>
    <row r="69" spans="1:14" ht="15.6">
      <c r="C69" s="509" t="s">
        <v>143</v>
      </c>
      <c r="D69" s="560"/>
      <c r="E69" s="560"/>
      <c r="F69" s="259"/>
      <c r="G69" s="556">
        <f>+L38</f>
        <v>1.15824280884344E-3</v>
      </c>
      <c r="H69" s="557"/>
      <c r="I69" s="557"/>
      <c r="J69" s="557"/>
      <c r="K69" s="10"/>
      <c r="L69" s="10"/>
      <c r="M69" s="10"/>
    </row>
    <row r="70" spans="1:14" ht="13.8" thickBot="1">
      <c r="C70" s="383" t="s">
        <v>39</v>
      </c>
      <c r="D70" s="384"/>
      <c r="E70" s="384"/>
      <c r="F70" s="367"/>
      <c r="G70" s="558">
        <f>+L40</f>
        <v>0.41644881141952872</v>
      </c>
      <c r="H70" s="559"/>
      <c r="I70" s="559"/>
      <c r="J70" s="559"/>
      <c r="K70" s="10"/>
      <c r="L70" s="10"/>
      <c r="M70" s="10"/>
    </row>
    <row r="71" spans="1:14">
      <c r="C71" s="333" t="s">
        <v>145</v>
      </c>
      <c r="D71" s="334"/>
      <c r="E71" s="334"/>
      <c r="F71" s="334"/>
      <c r="G71" s="334"/>
      <c r="H71" s="334"/>
      <c r="I71" s="334"/>
      <c r="J71" s="334"/>
      <c r="K71" s="46"/>
      <c r="L71" s="46"/>
      <c r="M71" s="46"/>
      <c r="N71" s="46"/>
    </row>
    <row r="76" spans="1:14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1:14">
      <c r="A77" s="44"/>
      <c r="B77" s="44"/>
      <c r="K77" s="45"/>
      <c r="L77" s="45"/>
      <c r="M77" s="45"/>
    </row>
    <row r="78" spans="1:14">
      <c r="A78" s="44"/>
      <c r="B78" s="44"/>
      <c r="K78" s="45"/>
      <c r="L78" s="22"/>
      <c r="M78" s="22"/>
    </row>
    <row r="79" spans="1:14">
      <c r="A79" s="46"/>
      <c r="B79" s="46"/>
      <c r="K79" s="1"/>
      <c r="L79" s="10"/>
      <c r="M79" s="10"/>
    </row>
    <row r="80" spans="1:14">
      <c r="A80" s="46"/>
      <c r="B80" s="46"/>
      <c r="K80" s="1"/>
      <c r="L80" s="10"/>
      <c r="M80" s="10"/>
    </row>
    <row r="81" spans="1:13">
      <c r="A81" s="46"/>
      <c r="B81" s="46"/>
      <c r="K81" s="1"/>
      <c r="L81" s="10"/>
      <c r="M81" s="10"/>
    </row>
  </sheetData>
  <sheetProtection sheet="1" objects="1" scenarios="1"/>
  <mergeCells count="197">
    <mergeCell ref="L45:M45"/>
    <mergeCell ref="I46:I48"/>
    <mergeCell ref="K46:K48"/>
    <mergeCell ref="L23:M24"/>
    <mergeCell ref="J39:J40"/>
    <mergeCell ref="L35:M35"/>
    <mergeCell ref="L36:M36"/>
    <mergeCell ref="L27:M27"/>
    <mergeCell ref="L33:M34"/>
    <mergeCell ref="L40:M40"/>
    <mergeCell ref="L37:M37"/>
    <mergeCell ref="L39:M39"/>
    <mergeCell ref="H33:I34"/>
    <mergeCell ref="L46:M48"/>
    <mergeCell ref="A41:M41"/>
    <mergeCell ref="C33:E33"/>
    <mergeCell ref="C34:E34"/>
    <mergeCell ref="K39:K40"/>
    <mergeCell ref="J34:J35"/>
    <mergeCell ref="K33:K35"/>
    <mergeCell ref="F27:G27"/>
    <mergeCell ref="H27:I27"/>
    <mergeCell ref="J27:K27"/>
    <mergeCell ref="H35:I35"/>
    <mergeCell ref="L53:M53"/>
    <mergeCell ref="G54:H54"/>
    <mergeCell ref="L54:M54"/>
    <mergeCell ref="G55:H55"/>
    <mergeCell ref="L55:M55"/>
    <mergeCell ref="C70:F70"/>
    <mergeCell ref="C67:F67"/>
    <mergeCell ref="G67:J67"/>
    <mergeCell ref="G70:J70"/>
    <mergeCell ref="L56:M56"/>
    <mergeCell ref="G56:H56"/>
    <mergeCell ref="D55:E55"/>
    <mergeCell ref="A59:M59"/>
    <mergeCell ref="C69:F69"/>
    <mergeCell ref="C63:J63"/>
    <mergeCell ref="C65:F66"/>
    <mergeCell ref="G65:J65"/>
    <mergeCell ref="G66:J66"/>
    <mergeCell ref="G69:J69"/>
    <mergeCell ref="C68:F68"/>
    <mergeCell ref="G68:J68"/>
    <mergeCell ref="C64:F64"/>
    <mergeCell ref="G64:J64"/>
    <mergeCell ref="A56:B56"/>
    <mergeCell ref="C27:E27"/>
    <mergeCell ref="C32:E32"/>
    <mergeCell ref="A46:B50"/>
    <mergeCell ref="C49:C50"/>
    <mergeCell ref="D49:E50"/>
    <mergeCell ref="C71:J71"/>
    <mergeCell ref="F39:G40"/>
    <mergeCell ref="H39:I40"/>
    <mergeCell ref="G53:H53"/>
    <mergeCell ref="G49:H50"/>
    <mergeCell ref="I49:I50"/>
    <mergeCell ref="G45:H45"/>
    <mergeCell ref="F46:F48"/>
    <mergeCell ref="G46:H48"/>
    <mergeCell ref="F49:F50"/>
    <mergeCell ref="J46:J48"/>
    <mergeCell ref="D56:E56"/>
    <mergeCell ref="D39:D40"/>
    <mergeCell ref="E39:E40"/>
    <mergeCell ref="A32:B32"/>
    <mergeCell ref="D52:E52"/>
    <mergeCell ref="G52:H52"/>
    <mergeCell ref="L32:M32"/>
    <mergeCell ref="F25:G25"/>
    <mergeCell ref="A55:B55"/>
    <mergeCell ref="F35:G35"/>
    <mergeCell ref="A33:B35"/>
    <mergeCell ref="F33:G34"/>
    <mergeCell ref="A58:B58"/>
    <mergeCell ref="D58:E58"/>
    <mergeCell ref="L58:M58"/>
    <mergeCell ref="G58:H58"/>
    <mergeCell ref="A57:B57"/>
    <mergeCell ref="D57:E57"/>
    <mergeCell ref="L57:M57"/>
    <mergeCell ref="G57:H57"/>
    <mergeCell ref="C46:C48"/>
    <mergeCell ref="D46:E48"/>
    <mergeCell ref="A38:B38"/>
    <mergeCell ref="F32:G32"/>
    <mergeCell ref="A54:B54"/>
    <mergeCell ref="D54:E54"/>
    <mergeCell ref="A53:B53"/>
    <mergeCell ref="D53:E53"/>
    <mergeCell ref="A27:B27"/>
    <mergeCell ref="A52:B52"/>
    <mergeCell ref="L52:M52"/>
    <mergeCell ref="A51:B51"/>
    <mergeCell ref="D51:E51"/>
    <mergeCell ref="G51:H51"/>
    <mergeCell ref="L51:M51"/>
    <mergeCell ref="K49:K50"/>
    <mergeCell ref="L49:M50"/>
    <mergeCell ref="J49:J50"/>
    <mergeCell ref="A18:F18"/>
    <mergeCell ref="G18:H18"/>
    <mergeCell ref="I18:M18"/>
    <mergeCell ref="A21:M21"/>
    <mergeCell ref="L22:M22"/>
    <mergeCell ref="F38:G38"/>
    <mergeCell ref="H38:I38"/>
    <mergeCell ref="H37:I37"/>
    <mergeCell ref="A37:B37"/>
    <mergeCell ref="F22:G22"/>
    <mergeCell ref="F23:G23"/>
    <mergeCell ref="J22:K22"/>
    <mergeCell ref="H22:I22"/>
    <mergeCell ref="H23:I23"/>
    <mergeCell ref="A22:B22"/>
    <mergeCell ref="C22:E22"/>
    <mergeCell ref="A17:F17"/>
    <mergeCell ref="G17:H17"/>
    <mergeCell ref="I17:M17"/>
    <mergeCell ref="A45:B45"/>
    <mergeCell ref="D45:E45"/>
    <mergeCell ref="A44:M44"/>
    <mergeCell ref="C23:E23"/>
    <mergeCell ref="C24:E25"/>
    <mergeCell ref="A28:M28"/>
    <mergeCell ref="L38:M38"/>
    <mergeCell ref="F37:G37"/>
    <mergeCell ref="A39:B40"/>
    <mergeCell ref="C39:C40"/>
    <mergeCell ref="J24:K24"/>
    <mergeCell ref="J25:K25"/>
    <mergeCell ref="J26:K26"/>
    <mergeCell ref="F24:G24"/>
    <mergeCell ref="H24:I24"/>
    <mergeCell ref="F36:G36"/>
    <mergeCell ref="H36:I36"/>
    <mergeCell ref="A23:B25"/>
    <mergeCell ref="L26:M26"/>
    <mergeCell ref="L25:M25"/>
    <mergeCell ref="J23:K23"/>
    <mergeCell ref="F26:G26"/>
    <mergeCell ref="H25:I25"/>
    <mergeCell ref="H26:I26"/>
    <mergeCell ref="C26:E26"/>
    <mergeCell ref="A26:B26"/>
    <mergeCell ref="A36:B36"/>
    <mergeCell ref="H32:I32"/>
    <mergeCell ref="A31:M31"/>
    <mergeCell ref="I8:M8"/>
    <mergeCell ref="A16:F16"/>
    <mergeCell ref="G16:H16"/>
    <mergeCell ref="I16:M16"/>
    <mergeCell ref="A15:F15"/>
    <mergeCell ref="I14:M14"/>
    <mergeCell ref="G15:H15"/>
    <mergeCell ref="I15:M15"/>
    <mergeCell ref="G14:H14"/>
    <mergeCell ref="G10:H10"/>
    <mergeCell ref="I10:M10"/>
    <mergeCell ref="A14:F14"/>
    <mergeCell ref="A12:F12"/>
    <mergeCell ref="G12:H12"/>
    <mergeCell ref="I12:M12"/>
    <mergeCell ref="I13:M13"/>
    <mergeCell ref="A13:F13"/>
    <mergeCell ref="G13:H13"/>
    <mergeCell ref="A9:F9"/>
    <mergeCell ref="G9:H9"/>
    <mergeCell ref="I9:M9"/>
    <mergeCell ref="G11:H11"/>
    <mergeCell ref="I11:M11"/>
    <mergeCell ref="A5:C5"/>
    <mergeCell ref="D5:F5"/>
    <mergeCell ref="A10:B10"/>
    <mergeCell ref="C10:C11"/>
    <mergeCell ref="A11:B11"/>
    <mergeCell ref="A8:F8"/>
    <mergeCell ref="G8:H8"/>
    <mergeCell ref="A2:M2"/>
    <mergeCell ref="A3:F3"/>
    <mergeCell ref="G3:M3"/>
    <mergeCell ref="A7:C7"/>
    <mergeCell ref="D7:F7"/>
    <mergeCell ref="G7:I7"/>
    <mergeCell ref="J4:M4"/>
    <mergeCell ref="A6:C6"/>
    <mergeCell ref="A4:C4"/>
    <mergeCell ref="D4:F4"/>
    <mergeCell ref="G4:I4"/>
    <mergeCell ref="D6:F6"/>
    <mergeCell ref="G6:I6"/>
    <mergeCell ref="G5:I5"/>
    <mergeCell ref="J5:M5"/>
    <mergeCell ref="J7:M7"/>
    <mergeCell ref="J6:M6"/>
  </mergeCells>
  <conditionalFormatting sqref="A15:H16">
    <cfRule type="expression" dxfId="28" priority="1">
      <formula>$I$9&lt;&gt;"4SG"</formula>
    </cfRule>
    <cfRule type="expression" dxfId="27" priority="2">
      <formula>$I$9="4SG"</formula>
    </cfRule>
  </conditionalFormatting>
  <conditionalFormatting sqref="I10:M10">
    <cfRule type="cellIs" dxfId="26" priority="7" stopIfTrue="1" operator="greaterThan">
      <formula>$E$10</formula>
    </cfRule>
  </conditionalFormatting>
  <conditionalFormatting sqref="I11:M11">
    <cfRule type="cellIs" dxfId="25" priority="6" stopIfTrue="1" operator="greaterThan">
      <formula>$E$11</formula>
    </cfRule>
  </conditionalFormatting>
  <conditionalFormatting sqref="I15:M16">
    <cfRule type="expression" dxfId="24" priority="3">
      <formula>$I$9&lt;&gt;"4SG"</formula>
    </cfRule>
    <cfRule type="expression" dxfId="23" priority="4">
      <formula>$I$9="4SG"</formula>
    </cfRule>
  </conditionalFormatting>
  <conditionalFormatting sqref="N10:N11">
    <cfRule type="expression" dxfId="22" priority="5">
      <formula>I10&gt;E10</formula>
    </cfRule>
  </conditionalFormatting>
  <dataValidations count="12">
    <dataValidation type="list" allowBlank="1" showInputMessage="1" showErrorMessage="1" sqref="AO44" xr:uid="{00000000-0002-0000-0400-000000000000}">
      <formula1>Local</formula1>
    </dataValidation>
    <dataValidation type="list" allowBlank="1" showInputMessage="1" showErrorMessage="1" sqref="I17:M17" xr:uid="{00000000-0002-0000-0400-000001000000}">
      <formula1>ILight</formula1>
    </dataValidation>
    <dataValidation type="list" allowBlank="1" showInputMessage="1" showErrorMessage="1" sqref="I15:M15" xr:uid="{00000000-0002-0000-0400-000002000000}">
      <formula1>IApproach</formula1>
    </dataValidation>
    <dataValidation allowBlank="1" showInputMessage="1" showErrorMessage="1" errorTitle="Invalid" sqref="L29:M29" xr:uid="{00000000-0002-0000-0400-000003000000}"/>
    <dataValidation type="whole" operator="greaterThanOrEqual" allowBlank="1" showInputMessage="1" showErrorMessage="1" sqref="I10:M11" xr:uid="{00000000-0002-0000-0400-000004000000}">
      <formula1>0</formula1>
    </dataValidation>
    <dataValidation type="list" operator="greaterThan" allowBlank="1" showInputMessage="1" showErrorMessage="1" sqref="I9:M9" xr:uid="{00000000-0002-0000-0400-000005000000}">
      <formula1>IType</formula1>
    </dataValidation>
    <dataValidation type="whole" allowBlank="1" showInputMessage="1" showErrorMessage="1" sqref="I14:M14" xr:uid="{00000000-0002-0000-0400-000006000000}">
      <formula1>0</formula1>
      <formula2>90</formula2>
    </dataValidation>
    <dataValidation type="whole" operator="greaterThan" allowBlank="1" showInputMessage="1" showErrorMessage="1" sqref="J7" xr:uid="{00000000-0002-0000-0400-000008000000}">
      <formula1>1990</formula1>
    </dataValidation>
    <dataValidation type="decimal" allowBlank="1" showInputMessage="1" showErrorMessage="1" sqref="I18:M18" xr:uid="{00000000-0002-0000-0400-000009000000}">
      <formula1>0</formula1>
      <formula2>10</formula2>
    </dataValidation>
    <dataValidation type="list" allowBlank="1" showInputMessage="1" showErrorMessage="1" sqref="I16:M16" xr:uid="{00000000-0002-0000-0400-00000A000000}">
      <formula1>RtApproach</formula1>
    </dataValidation>
    <dataValidation type="list" operator="lessThanOrEqual" allowBlank="1" showInputMessage="1" showErrorMessage="1" sqref="I12:M12" xr:uid="{00000000-0002-0000-0400-00000B000000}">
      <formula1>District</formula1>
    </dataValidation>
    <dataValidation type="list" operator="lessThanOrEqual" allowBlank="1" showInputMessage="1" showErrorMessage="1" sqref="I13:M13" xr:uid="{00000000-0002-0000-0400-00000C000000}">
      <formula1>Division</formula1>
    </dataValidation>
  </dataValidations>
  <hyperlinks>
    <hyperlink ref="C10:C11" r:id="rId1" display="Map" xr:uid="{ACCEA570-F127-447F-8DB3-DF7C4AD356A0}"/>
  </hyperlinks>
  <pageMargins left="0.7" right="0.7" top="0.75" bottom="0.75" header="0.3" footer="0.3"/>
  <pageSetup orientation="portrait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63"/>
  <sheetViews>
    <sheetView workbookViewId="0"/>
  </sheetViews>
  <sheetFormatPr defaultRowHeight="13.2"/>
  <cols>
    <col min="2" max="2" width="18.6640625" bestFit="1" customWidth="1"/>
    <col min="3" max="13" width="10.6640625" customWidth="1"/>
    <col min="14" max="14" width="16.5546875" bestFit="1" customWidth="1"/>
    <col min="15" max="15" width="11.33203125" bestFit="1" customWidth="1"/>
    <col min="16" max="18" width="12.21875" customWidth="1"/>
    <col min="19" max="28" width="12.6640625" customWidth="1"/>
  </cols>
  <sheetData>
    <row r="1" spans="2:18">
      <c r="B1" s="102" t="s">
        <v>337</v>
      </c>
    </row>
    <row r="2" spans="2:18" ht="13.8" thickBot="1"/>
    <row r="3" spans="2:18" ht="13.8" thickTop="1">
      <c r="B3" s="582" t="s">
        <v>136</v>
      </c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</row>
    <row r="4" spans="2:18" ht="13.8" thickBot="1"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</row>
    <row r="5" spans="2:18">
      <c r="B5" s="581" t="s">
        <v>88</v>
      </c>
      <c r="C5" s="581"/>
      <c r="D5" s="204" t="s">
        <v>86</v>
      </c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</row>
    <row r="6" spans="2:18" ht="13.8" thickBot="1">
      <c r="B6" s="418" t="s">
        <v>437</v>
      </c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5" t="s">
        <v>85</v>
      </c>
      <c r="P6" s="416"/>
      <c r="Q6" s="416"/>
      <c r="R6" s="416"/>
    </row>
    <row r="7" spans="2:18">
      <c r="C7" s="29" t="s">
        <v>450</v>
      </c>
      <c r="D7" s="29" t="s">
        <v>451</v>
      </c>
      <c r="E7" s="29" t="s">
        <v>452</v>
      </c>
      <c r="F7" s="29" t="s">
        <v>460</v>
      </c>
      <c r="G7" s="29" t="s">
        <v>453</v>
      </c>
      <c r="H7" s="29" t="s">
        <v>454</v>
      </c>
      <c r="I7" s="29" t="s">
        <v>455</v>
      </c>
      <c r="J7" s="29" t="s">
        <v>461</v>
      </c>
      <c r="K7" s="29" t="s">
        <v>456</v>
      </c>
      <c r="L7" s="29" t="s">
        <v>457</v>
      </c>
      <c r="M7" s="29" t="s">
        <v>458</v>
      </c>
      <c r="N7" s="29" t="s">
        <v>462</v>
      </c>
      <c r="O7" s="114"/>
      <c r="P7" s="29" t="s">
        <v>96</v>
      </c>
      <c r="Q7" s="29" t="s">
        <v>97</v>
      </c>
      <c r="R7" s="29" t="s">
        <v>98</v>
      </c>
    </row>
    <row r="8" spans="2:18">
      <c r="B8" t="s">
        <v>37</v>
      </c>
      <c r="C8" s="1">
        <v>-12.526</v>
      </c>
      <c r="D8" s="1">
        <v>1.204</v>
      </c>
      <c r="E8" s="1">
        <v>0.23599999999999999</v>
      </c>
      <c r="F8" s="1">
        <v>0.46</v>
      </c>
      <c r="G8" s="1">
        <v>-10.007999999999999</v>
      </c>
      <c r="H8" s="1">
        <v>0.84799999999999998</v>
      </c>
      <c r="I8" s="1">
        <v>0.44800000000000001</v>
      </c>
      <c r="J8" s="1">
        <v>0.49399999999999999</v>
      </c>
      <c r="K8" s="1">
        <v>-7.1820000000000004</v>
      </c>
      <c r="L8" s="1">
        <v>0.72199999999999998</v>
      </c>
      <c r="M8" s="1">
        <v>0.33700000000000002</v>
      </c>
      <c r="N8" s="1">
        <v>0.27700000000000002</v>
      </c>
      <c r="O8" s="117" t="s">
        <v>137</v>
      </c>
      <c r="P8" s="211">
        <v>-9.9390000000000001</v>
      </c>
      <c r="Q8" s="211">
        <v>-5.702</v>
      </c>
      <c r="R8" s="211">
        <v>-8.42</v>
      </c>
    </row>
    <row r="9" spans="2:18">
      <c r="B9" t="s">
        <v>38</v>
      </c>
      <c r="C9" s="1">
        <v>-12.664</v>
      </c>
      <c r="D9" s="1">
        <v>1.107</v>
      </c>
      <c r="E9" s="1">
        <v>0.27200000000000002</v>
      </c>
      <c r="F9" s="1">
        <v>0.56899999999999995</v>
      </c>
      <c r="G9" s="1">
        <v>-11.554</v>
      </c>
      <c r="H9" s="1">
        <v>0.88800000000000001</v>
      </c>
      <c r="I9" s="1">
        <v>0.52500000000000002</v>
      </c>
      <c r="J9" s="1">
        <v>0.74199999999999999</v>
      </c>
      <c r="K9" s="1">
        <v>-6.3929999999999998</v>
      </c>
      <c r="L9" s="1">
        <v>0.63800000000000001</v>
      </c>
      <c r="M9" s="1">
        <v>0.23200000000000001</v>
      </c>
      <c r="N9" s="1">
        <v>0.218</v>
      </c>
      <c r="O9" s="117" t="s">
        <v>138</v>
      </c>
      <c r="P9" s="211">
        <v>0.78100000000000003</v>
      </c>
      <c r="Q9" s="211">
        <v>0.26200000000000001</v>
      </c>
      <c r="R9" s="211">
        <v>0.72199999999999998</v>
      </c>
    </row>
    <row r="10" spans="2:18" ht="15.6">
      <c r="B10" s="26" t="s">
        <v>436</v>
      </c>
      <c r="C10" s="1">
        <v>-11.989000000000001</v>
      </c>
      <c r="D10" s="1">
        <v>1.0129999999999999</v>
      </c>
      <c r="E10" s="1">
        <v>0.22800000000000001</v>
      </c>
      <c r="F10" s="1">
        <v>0.56599999999999995</v>
      </c>
      <c r="G10" s="1">
        <v>-10.734</v>
      </c>
      <c r="H10" s="1">
        <v>0.82799999999999996</v>
      </c>
      <c r="I10" s="1">
        <v>0.41199999999999998</v>
      </c>
      <c r="J10" s="1">
        <v>0.65500000000000003</v>
      </c>
      <c r="K10" s="1">
        <v>-12.010999999999999</v>
      </c>
      <c r="L10" s="1" t="s">
        <v>15</v>
      </c>
      <c r="M10" s="1">
        <v>1.2789999999999999</v>
      </c>
      <c r="N10" s="1">
        <v>0.56599999999999995</v>
      </c>
      <c r="O10" s="117" t="s">
        <v>139</v>
      </c>
      <c r="P10" s="211">
        <v>0.40400000000000003</v>
      </c>
      <c r="Q10" s="211">
        <v>0.53500000000000003</v>
      </c>
      <c r="R10" s="211">
        <v>0.33700000000000002</v>
      </c>
    </row>
    <row r="11" spans="2:18" ht="13.8" thickBot="1"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24" t="s">
        <v>459</v>
      </c>
      <c r="P11" s="193">
        <v>0.51200000000000001</v>
      </c>
      <c r="Q11" s="193">
        <v>0.35499999999999998</v>
      </c>
      <c r="R11" s="193">
        <v>0.79</v>
      </c>
    </row>
    <row r="13" spans="2:18" ht="13.8" thickBot="1"/>
    <row r="14" spans="2:18" ht="13.8" thickTop="1">
      <c r="B14" s="443" t="s">
        <v>374</v>
      </c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N14" s="443" t="s">
        <v>463</v>
      </c>
      <c r="O14" s="443"/>
      <c r="P14" s="443"/>
      <c r="Q14" s="443"/>
      <c r="R14" s="443"/>
    </row>
    <row r="15" spans="2:18" ht="13.8" thickBot="1"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N15" s="389"/>
      <c r="O15" s="389"/>
      <c r="P15" s="389"/>
      <c r="Q15" s="389"/>
      <c r="R15" s="389"/>
    </row>
    <row r="16" spans="2:18">
      <c r="B16" s="485" t="s">
        <v>62</v>
      </c>
      <c r="C16" s="587"/>
      <c r="D16" s="588"/>
      <c r="E16" s="446" t="s">
        <v>176</v>
      </c>
      <c r="F16" s="446"/>
      <c r="G16" s="446"/>
      <c r="H16" s="446"/>
      <c r="I16" s="446"/>
      <c r="J16" s="446"/>
      <c r="K16" s="447"/>
      <c r="L16" s="249"/>
      <c r="N16" s="220" t="s">
        <v>47</v>
      </c>
      <c r="O16" s="220"/>
      <c r="P16" s="393" t="s">
        <v>464</v>
      </c>
      <c r="Q16" s="410"/>
      <c r="R16" s="410"/>
    </row>
    <row r="17" spans="2:18" ht="13.8" thickBot="1">
      <c r="B17" s="487"/>
      <c r="C17" s="487"/>
      <c r="D17" s="488"/>
      <c r="E17" s="448" t="s">
        <v>60</v>
      </c>
      <c r="F17" s="448"/>
      <c r="G17" s="448"/>
      <c r="H17" s="298"/>
      <c r="I17" s="380" t="s">
        <v>61</v>
      </c>
      <c r="J17" s="298"/>
      <c r="K17" s="298"/>
      <c r="L17" s="294"/>
      <c r="N17" s="420"/>
      <c r="O17" s="420"/>
      <c r="P17" s="128" t="s">
        <v>96</v>
      </c>
      <c r="Q17" s="92" t="s">
        <v>97</v>
      </c>
      <c r="R17" s="123" t="s">
        <v>98</v>
      </c>
    </row>
    <row r="18" spans="2:18">
      <c r="B18" s="460" t="s">
        <v>88</v>
      </c>
      <c r="C18" s="297"/>
      <c r="D18" s="202" t="s">
        <v>87</v>
      </c>
      <c r="E18" s="449" t="s">
        <v>37</v>
      </c>
      <c r="F18" s="289" t="s">
        <v>78</v>
      </c>
      <c r="G18" s="289" t="s">
        <v>183</v>
      </c>
      <c r="H18" s="289" t="s">
        <v>184</v>
      </c>
      <c r="I18" s="449" t="s">
        <v>37</v>
      </c>
      <c r="J18" s="289" t="s">
        <v>78</v>
      </c>
      <c r="K18" s="289" t="s">
        <v>183</v>
      </c>
      <c r="L18" s="455" t="s">
        <v>184</v>
      </c>
      <c r="N18" s="579" t="s">
        <v>438</v>
      </c>
      <c r="O18" s="580"/>
      <c r="P18" s="195">
        <v>1.3</v>
      </c>
      <c r="Q18" s="194">
        <v>0.9</v>
      </c>
      <c r="R18" s="207">
        <v>0.6</v>
      </c>
    </row>
    <row r="19" spans="2:18" ht="13.8" thickBot="1">
      <c r="B19" s="258"/>
      <c r="C19" s="258"/>
      <c r="D19" s="259"/>
      <c r="E19" s="586"/>
      <c r="F19" s="584"/>
      <c r="G19" s="584"/>
      <c r="H19" s="584"/>
      <c r="I19" s="586"/>
      <c r="J19" s="584"/>
      <c r="K19" s="584"/>
      <c r="L19" s="589"/>
      <c r="N19" s="224" t="s">
        <v>439</v>
      </c>
      <c r="O19" s="225"/>
      <c r="P19" s="195">
        <v>5.3</v>
      </c>
      <c r="Q19" s="194">
        <v>6</v>
      </c>
      <c r="R19" s="207">
        <v>4.2</v>
      </c>
    </row>
    <row r="20" spans="2:18">
      <c r="B20" s="585" t="s">
        <v>225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N20" s="224" t="s">
        <v>440</v>
      </c>
      <c r="O20" s="225"/>
      <c r="P20" s="195">
        <v>15.4</v>
      </c>
      <c r="Q20" s="194">
        <v>18.100000000000001</v>
      </c>
      <c r="R20" s="207">
        <v>11.4</v>
      </c>
    </row>
    <row r="21" spans="2:18" ht="13.8" thickBot="1">
      <c r="B21" s="458" t="s">
        <v>177</v>
      </c>
      <c r="C21" s="459"/>
      <c r="D21" s="459"/>
      <c r="E21" s="66">
        <v>2.9000000000000001E-2</v>
      </c>
      <c r="F21" s="66">
        <v>4.2999999999999997E-2</v>
      </c>
      <c r="G21" s="66">
        <v>5.1999999999999998E-2</v>
      </c>
      <c r="H21" s="3">
        <v>0.02</v>
      </c>
      <c r="I21" s="184">
        <v>6.9999999999999993E-3</v>
      </c>
      <c r="J21" s="184">
        <v>1.3000000000000001E-2</v>
      </c>
      <c r="K21" s="184"/>
      <c r="L21" s="189">
        <v>3.0000000000000001E-3</v>
      </c>
      <c r="N21" s="575" t="s">
        <v>441</v>
      </c>
      <c r="O21" s="576"/>
      <c r="P21" s="208">
        <v>15.7</v>
      </c>
      <c r="Q21" s="209">
        <v>14.4</v>
      </c>
      <c r="R21" s="210">
        <v>13.2</v>
      </c>
    </row>
    <row r="22" spans="2:18" ht="13.8" thickTop="1">
      <c r="B22" s="458" t="s">
        <v>178</v>
      </c>
      <c r="C22" s="459"/>
      <c r="D22" s="459"/>
      <c r="E22" s="3">
        <v>0.13300000000000001</v>
      </c>
      <c r="F22" s="3">
        <v>5.8000000000000003E-2</v>
      </c>
      <c r="G22" s="3">
        <v>5.7000000000000002E-2</v>
      </c>
      <c r="H22" s="3">
        <v>0.17899999999999999</v>
      </c>
      <c r="I22" s="184">
        <v>3.3000000000000002E-2</v>
      </c>
      <c r="J22" s="184">
        <v>2.2000000000000002E-2</v>
      </c>
      <c r="K22" s="184"/>
      <c r="L22" s="189">
        <v>0.04</v>
      </c>
      <c r="N22" s="577" t="s">
        <v>442</v>
      </c>
      <c r="O22" s="578"/>
      <c r="P22" s="122">
        <f>SUM(P18:P21)</f>
        <v>37.700000000000003</v>
      </c>
      <c r="Q22" s="121">
        <f>SUM(Q18:Q21)</f>
        <v>39.4</v>
      </c>
      <c r="R22" s="129">
        <f>SUM(R18:R21)</f>
        <v>29.4</v>
      </c>
    </row>
    <row r="23" spans="2:18" ht="13.8" thickBot="1">
      <c r="B23" s="458" t="s">
        <v>179</v>
      </c>
      <c r="C23" s="459"/>
      <c r="D23" s="459"/>
      <c r="E23" s="3">
        <v>0.28899999999999998</v>
      </c>
      <c r="F23" s="3">
        <v>0.247</v>
      </c>
      <c r="G23" s="3">
        <v>0.14199999999999999</v>
      </c>
      <c r="H23" s="3">
        <v>0.315</v>
      </c>
      <c r="I23" s="184">
        <v>8.1000000000000003E-2</v>
      </c>
      <c r="J23" s="184">
        <v>0.114</v>
      </c>
      <c r="K23" s="184"/>
      <c r="L23" s="189">
        <v>6.0999999999999999E-2</v>
      </c>
      <c r="N23" s="575" t="s">
        <v>443</v>
      </c>
      <c r="O23" s="576"/>
      <c r="P23" s="130">
        <f>100-P22</f>
        <v>62.3</v>
      </c>
      <c r="Q23" s="131">
        <f>100-Q22</f>
        <v>60.6</v>
      </c>
      <c r="R23" s="132">
        <f>100-R22</f>
        <v>70.599999999999994</v>
      </c>
    </row>
    <row r="24" spans="2:18" ht="14.4" thickTop="1" thickBot="1">
      <c r="B24" s="458" t="s">
        <v>180</v>
      </c>
      <c r="C24" s="459"/>
      <c r="D24" s="459"/>
      <c r="E24" s="3">
        <v>0.26300000000000001</v>
      </c>
      <c r="F24" s="3">
        <v>0.36899999999999999</v>
      </c>
      <c r="G24" s="3">
        <v>0.38100000000000001</v>
      </c>
      <c r="H24" s="3">
        <v>0.19800000000000001</v>
      </c>
      <c r="I24" s="184">
        <v>0.34299999999999997</v>
      </c>
      <c r="J24" s="184">
        <v>0.35499999999999998</v>
      </c>
      <c r="K24" s="184"/>
      <c r="L24" s="189">
        <v>0.33500000000000002</v>
      </c>
      <c r="N24" s="573" t="s">
        <v>444</v>
      </c>
      <c r="O24" s="574"/>
      <c r="P24" s="133">
        <f>SUM(P22:P23)</f>
        <v>100</v>
      </c>
      <c r="Q24" s="134">
        <f>SUM(Q22:Q23)</f>
        <v>100</v>
      </c>
      <c r="R24" s="135">
        <f>SUM(R22:R23)</f>
        <v>100</v>
      </c>
    </row>
    <row r="25" spans="2:18">
      <c r="B25" s="458" t="s">
        <v>181</v>
      </c>
      <c r="C25" s="459"/>
      <c r="D25" s="459"/>
      <c r="E25" s="3">
        <v>0.23400000000000001</v>
      </c>
      <c r="F25" s="3">
        <v>0.219</v>
      </c>
      <c r="G25" s="3">
        <v>0.28399999999999997</v>
      </c>
      <c r="H25" s="3">
        <v>0.24399999999999999</v>
      </c>
      <c r="I25" s="184">
        <v>0.151</v>
      </c>
      <c r="J25" s="184">
        <v>0.11800000000000001</v>
      </c>
      <c r="K25" s="184"/>
      <c r="L25" s="189">
        <v>0.17</v>
      </c>
    </row>
    <row r="26" spans="2:18" ht="13.8" thickBot="1">
      <c r="B26" s="453" t="s">
        <v>182</v>
      </c>
      <c r="C26" s="491"/>
      <c r="D26" s="491"/>
      <c r="E26" s="51">
        <v>5.1999999999999998E-2</v>
      </c>
      <c r="F26" s="51">
        <v>6.4000000000000001E-2</v>
      </c>
      <c r="G26" s="51">
        <v>8.4000000000000005E-2</v>
      </c>
      <c r="H26" s="51">
        <v>4.3999999999999997E-2</v>
      </c>
      <c r="I26" s="190">
        <v>0.38600000000000001</v>
      </c>
      <c r="J26" s="190">
        <v>0.377</v>
      </c>
      <c r="K26" s="190"/>
      <c r="L26" s="191">
        <v>0.39100000000000001</v>
      </c>
    </row>
    <row r="27" spans="2:18" ht="14.4" thickTop="1" thickBot="1">
      <c r="B27" s="475" t="s">
        <v>201</v>
      </c>
      <c r="C27" s="476"/>
      <c r="D27" s="476"/>
      <c r="E27" s="83">
        <v>0.5</v>
      </c>
      <c r="F27" s="83"/>
      <c r="G27" s="83"/>
      <c r="H27" s="83"/>
      <c r="I27" s="187"/>
      <c r="J27" s="187"/>
      <c r="K27" s="187"/>
      <c r="L27" s="188"/>
      <c r="P27" s="419" t="s">
        <v>435</v>
      </c>
      <c r="Q27" s="419"/>
      <c r="R27" s="419"/>
    </row>
    <row r="28" spans="2:18">
      <c r="B28" s="585" t="s">
        <v>224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P28" s="116"/>
      <c r="Q28" s="115" t="s">
        <v>174</v>
      </c>
      <c r="R28" s="120" t="s">
        <v>173</v>
      </c>
    </row>
    <row r="29" spans="2:18">
      <c r="B29" s="458" t="s">
        <v>177</v>
      </c>
      <c r="C29" s="459"/>
      <c r="D29" s="459"/>
      <c r="E29" s="66">
        <v>1.6E-2</v>
      </c>
      <c r="F29" s="66">
        <v>1.7999999999999999E-2</v>
      </c>
      <c r="G29" s="66">
        <v>2.3E-2</v>
      </c>
      <c r="H29" s="3">
        <v>1.4999999999999999E-2</v>
      </c>
      <c r="I29" s="184">
        <v>6.9999999999999993E-3</v>
      </c>
      <c r="J29" s="184">
        <v>6.0000000000000001E-3</v>
      </c>
      <c r="K29" s="184"/>
      <c r="L29" s="189">
        <v>6.9999999999999993E-3</v>
      </c>
      <c r="P29" s="26" t="s">
        <v>449</v>
      </c>
      <c r="Q29" s="136">
        <v>1</v>
      </c>
      <c r="R29" s="30">
        <v>1</v>
      </c>
    </row>
    <row r="30" spans="2:18">
      <c r="B30" s="458" t="s">
        <v>178</v>
      </c>
      <c r="C30" s="459"/>
      <c r="D30" s="459"/>
      <c r="E30" s="3">
        <v>0.107</v>
      </c>
      <c r="F30" s="3">
        <v>4.2000000000000003E-2</v>
      </c>
      <c r="G30" s="3">
        <v>0.04</v>
      </c>
      <c r="H30" s="3">
        <v>0.156</v>
      </c>
      <c r="I30" s="184">
        <v>2E-3</v>
      </c>
      <c r="J30" s="184">
        <v>0</v>
      </c>
      <c r="K30" s="184"/>
      <c r="L30" s="189">
        <v>4.0000000000000001E-3</v>
      </c>
      <c r="P30" t="s">
        <v>429</v>
      </c>
      <c r="Q30" s="196">
        <v>1.23</v>
      </c>
      <c r="R30" s="197">
        <v>1.01</v>
      </c>
    </row>
    <row r="31" spans="2:18">
      <c r="B31" s="458" t="s">
        <v>179</v>
      </c>
      <c r="C31" s="459"/>
      <c r="D31" s="459"/>
      <c r="E31" s="3">
        <v>0.22800000000000001</v>
      </c>
      <c r="F31" s="3">
        <v>0.21299999999999999</v>
      </c>
      <c r="G31" s="3">
        <v>0.108</v>
      </c>
      <c r="H31" s="3">
        <v>0.24</v>
      </c>
      <c r="I31" s="184">
        <v>5.0999999999999997E-2</v>
      </c>
      <c r="J31" s="184">
        <v>7.2999999999999995E-2</v>
      </c>
      <c r="K31" s="184"/>
      <c r="L31" s="189">
        <v>3.6000000000000004E-2</v>
      </c>
      <c r="P31" t="s">
        <v>430</v>
      </c>
      <c r="Q31" s="196">
        <v>0.89</v>
      </c>
      <c r="R31" s="197">
        <v>0.91</v>
      </c>
    </row>
    <row r="32" spans="2:18">
      <c r="B32" s="458" t="s">
        <v>180</v>
      </c>
      <c r="C32" s="459"/>
      <c r="D32" s="459"/>
      <c r="E32" s="3">
        <v>0.39500000000000002</v>
      </c>
      <c r="F32" s="3">
        <v>0.53400000000000003</v>
      </c>
      <c r="G32" s="3">
        <v>0.57099999999999995</v>
      </c>
      <c r="H32" s="3">
        <v>0.29199999999999998</v>
      </c>
      <c r="I32" s="184">
        <v>0.57100000000000006</v>
      </c>
      <c r="J32" s="184">
        <v>0.60699999999999998</v>
      </c>
      <c r="K32" s="184"/>
      <c r="L32" s="189">
        <v>0.54700000000000004</v>
      </c>
      <c r="P32" t="s">
        <v>431</v>
      </c>
      <c r="Q32" s="196">
        <v>1.03</v>
      </c>
      <c r="R32" s="197">
        <v>1.1100000000000001</v>
      </c>
    </row>
    <row r="33" spans="2:18" ht="13.8" thickBot="1">
      <c r="B33" s="458" t="s">
        <v>181</v>
      </c>
      <c r="C33" s="459"/>
      <c r="D33" s="459"/>
      <c r="E33" s="3">
        <v>0.20200000000000001</v>
      </c>
      <c r="F33" s="3">
        <v>0.14799999999999999</v>
      </c>
      <c r="G33" s="3">
        <v>0.19900000000000001</v>
      </c>
      <c r="H33" s="3">
        <v>0.24299999999999999</v>
      </c>
      <c r="I33" s="184">
        <v>0.10199999999999999</v>
      </c>
      <c r="J33" s="184">
        <v>7.2999999999999995E-2</v>
      </c>
      <c r="K33" s="184"/>
      <c r="L33" s="189">
        <v>0.12</v>
      </c>
      <c r="P33" s="118" t="s">
        <v>432</v>
      </c>
      <c r="Q33" s="198">
        <v>0.71</v>
      </c>
      <c r="R33" s="199">
        <v>0.9</v>
      </c>
    </row>
    <row r="34" spans="2:18" ht="13.8" thickBot="1">
      <c r="B34" s="453" t="s">
        <v>182</v>
      </c>
      <c r="C34" s="491"/>
      <c r="D34" s="491"/>
      <c r="E34" s="51">
        <v>5.1999999999999998E-2</v>
      </c>
      <c r="F34" s="51">
        <v>4.4999999999999998E-2</v>
      </c>
      <c r="G34" s="51">
        <v>5.8999999999999997E-2</v>
      </c>
      <c r="H34" s="51">
        <v>5.3999999999999999E-2</v>
      </c>
      <c r="I34" s="190">
        <v>0.26800000000000002</v>
      </c>
      <c r="J34" s="190">
        <v>0.24199999999999999</v>
      </c>
      <c r="K34" s="190"/>
      <c r="L34" s="191">
        <v>0.28499999999999998</v>
      </c>
    </row>
    <row r="35" spans="2:18" ht="14.4" thickTop="1" thickBot="1">
      <c r="B35" s="475" t="s">
        <v>201</v>
      </c>
      <c r="C35" s="476"/>
      <c r="D35" s="476"/>
      <c r="E35" s="83">
        <v>0.5</v>
      </c>
      <c r="F35" s="83"/>
      <c r="G35" s="83"/>
      <c r="H35" s="83"/>
      <c r="I35" s="187"/>
      <c r="J35" s="187"/>
      <c r="K35" s="187"/>
      <c r="L35" s="188"/>
    </row>
    <row r="36" spans="2:18" ht="14.4" thickTop="1" thickBot="1">
      <c r="B36" s="585" t="s">
        <v>77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N36" s="419" t="s">
        <v>508</v>
      </c>
      <c r="O36" s="419"/>
      <c r="Q36" s="419" t="s">
        <v>500</v>
      </c>
      <c r="R36" s="419"/>
    </row>
    <row r="37" spans="2:18">
      <c r="B37" s="458" t="s">
        <v>177</v>
      </c>
      <c r="C37" s="459"/>
      <c r="D37" s="459"/>
      <c r="E37" s="66">
        <v>5.3999999999999999E-2</v>
      </c>
      <c r="F37" s="66">
        <v>8.3000000000000004E-2</v>
      </c>
      <c r="G37" s="66">
        <v>9.2999999999999999E-2</v>
      </c>
      <c r="H37" s="3">
        <v>3.4000000000000002E-2</v>
      </c>
      <c r="I37" s="184">
        <v>3.0000000000000001E-3</v>
      </c>
      <c r="J37" s="184">
        <v>3.0000000000000001E-3</v>
      </c>
      <c r="K37" s="184"/>
      <c r="L37" s="189">
        <v>3.0000000000000001E-3</v>
      </c>
      <c r="N37" s="120" t="s">
        <v>509</v>
      </c>
      <c r="O37" s="146" t="s">
        <v>510</v>
      </c>
      <c r="Q37" s="120" t="s">
        <v>474</v>
      </c>
      <c r="R37" s="146" t="s">
        <v>428</v>
      </c>
    </row>
    <row r="38" spans="2:18">
      <c r="B38" s="458" t="s">
        <v>178</v>
      </c>
      <c r="C38" s="459"/>
      <c r="D38" s="459"/>
      <c r="E38" s="3">
        <v>0.106</v>
      </c>
      <c r="F38" s="3">
        <v>4.7E-2</v>
      </c>
      <c r="G38" s="3">
        <v>3.9E-2</v>
      </c>
      <c r="H38" s="3">
        <v>0.14699999999999999</v>
      </c>
      <c r="I38" s="184">
        <v>2.2000000000000002E-2</v>
      </c>
      <c r="J38" s="184">
        <v>1.9E-2</v>
      </c>
      <c r="K38" s="184"/>
      <c r="L38" s="189">
        <v>2.4E-2</v>
      </c>
      <c r="N38" s="26" t="s">
        <v>174</v>
      </c>
      <c r="O38" s="205">
        <v>0.68</v>
      </c>
      <c r="Q38" s="26" t="s">
        <v>449</v>
      </c>
      <c r="R38" s="117" t="s">
        <v>449</v>
      </c>
    </row>
    <row r="39" spans="2:18" ht="13.8" thickBot="1">
      <c r="B39" s="458" t="s">
        <v>179</v>
      </c>
      <c r="C39" s="459"/>
      <c r="D39" s="459"/>
      <c r="E39" s="3">
        <v>0.49199999999999999</v>
      </c>
      <c r="F39" s="3">
        <v>0.47199999999999998</v>
      </c>
      <c r="G39" s="3">
        <v>0.314</v>
      </c>
      <c r="H39" s="3">
        <v>0.505</v>
      </c>
      <c r="I39" s="184">
        <v>4.7E-2</v>
      </c>
      <c r="J39" s="184">
        <v>2.5000000000000001E-2</v>
      </c>
      <c r="K39" s="184"/>
      <c r="L39" s="189">
        <v>5.5999999999999994E-2</v>
      </c>
      <c r="N39" s="119" t="s">
        <v>173</v>
      </c>
      <c r="O39" s="206">
        <v>0.85</v>
      </c>
      <c r="Q39" s="26" t="s">
        <v>475</v>
      </c>
      <c r="R39" s="114" t="s">
        <v>432</v>
      </c>
    </row>
    <row r="40" spans="2:18">
      <c r="B40" s="458" t="s">
        <v>180</v>
      </c>
      <c r="C40" s="459"/>
      <c r="D40" s="459"/>
      <c r="E40" s="3">
        <v>0.25600000000000001</v>
      </c>
      <c r="F40" s="3">
        <v>0.315</v>
      </c>
      <c r="G40" s="3">
        <v>0.40699999999999997</v>
      </c>
      <c r="H40" s="3">
        <v>0.215</v>
      </c>
      <c r="I40" s="184">
        <v>0.308</v>
      </c>
      <c r="J40" s="184">
        <v>0.42100000000000004</v>
      </c>
      <c r="K40" s="184"/>
      <c r="L40" s="189">
        <v>0.26100000000000001</v>
      </c>
      <c r="Q40" t="s">
        <v>476</v>
      </c>
      <c r="R40" s="114" t="s">
        <v>432</v>
      </c>
    </row>
    <row r="41" spans="2:18">
      <c r="B41" s="458" t="s">
        <v>181</v>
      </c>
      <c r="C41" s="459"/>
      <c r="D41" s="459"/>
      <c r="E41" s="3">
        <v>6.2E-2</v>
      </c>
      <c r="F41" s="3">
        <v>4.1000000000000002E-2</v>
      </c>
      <c r="G41" s="3">
        <v>7.8E-2</v>
      </c>
      <c r="H41" s="3">
        <v>7.6999999999999999E-2</v>
      </c>
      <c r="I41" s="184">
        <v>5.7000000000000002E-2</v>
      </c>
      <c r="J41" s="184">
        <v>0.06</v>
      </c>
      <c r="K41" s="184"/>
      <c r="L41" s="189">
        <v>5.5999999999999994E-2</v>
      </c>
      <c r="Q41" t="s">
        <v>480</v>
      </c>
      <c r="R41" s="114" t="s">
        <v>430</v>
      </c>
    </row>
    <row r="42" spans="2:18" ht="13.8" thickBot="1">
      <c r="B42" s="453" t="s">
        <v>182</v>
      </c>
      <c r="C42" s="491"/>
      <c r="D42" s="491"/>
      <c r="E42" s="51">
        <v>0.03</v>
      </c>
      <c r="F42" s="51">
        <v>4.2000000000000003E-2</v>
      </c>
      <c r="G42" s="51">
        <v>6.9000000000000006E-2</v>
      </c>
      <c r="H42" s="51">
        <v>2.1999999999999999E-2</v>
      </c>
      <c r="I42" s="190">
        <v>0.56299999999999994</v>
      </c>
      <c r="J42" s="190">
        <v>0.47299999999999998</v>
      </c>
      <c r="K42" s="190"/>
      <c r="L42" s="191">
        <v>0.6</v>
      </c>
      <c r="Q42" t="s">
        <v>477</v>
      </c>
      <c r="R42" s="114" t="s">
        <v>431</v>
      </c>
    </row>
    <row r="43" spans="2:18" ht="14.4" thickTop="1" thickBot="1">
      <c r="B43" s="475" t="s">
        <v>201</v>
      </c>
      <c r="C43" s="476"/>
      <c r="D43" s="476"/>
      <c r="E43" s="83">
        <v>0.5</v>
      </c>
      <c r="F43" s="83"/>
      <c r="G43" s="83"/>
      <c r="H43" s="83"/>
      <c r="I43" s="187"/>
      <c r="J43" s="187"/>
      <c r="K43" s="187"/>
      <c r="L43" s="188"/>
      <c r="Q43" t="s">
        <v>478</v>
      </c>
      <c r="R43" s="114" t="s">
        <v>429</v>
      </c>
    </row>
    <row r="44" spans="2:18">
      <c r="B44" s="333" t="s">
        <v>145</v>
      </c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Q44" t="s">
        <v>479</v>
      </c>
      <c r="R44" s="114" t="s">
        <v>430</v>
      </c>
    </row>
    <row r="45" spans="2:18">
      <c r="B45" s="1"/>
      <c r="C45" s="1"/>
      <c r="D45" s="1"/>
      <c r="E45" s="36"/>
      <c r="F45" s="1"/>
      <c r="G45" s="1"/>
      <c r="H45" s="1"/>
      <c r="I45" s="1"/>
      <c r="J45" s="1"/>
      <c r="K45" s="1"/>
      <c r="L45" s="1"/>
      <c r="Q45" t="s">
        <v>481</v>
      </c>
      <c r="R45" s="114" t="s">
        <v>429</v>
      </c>
    </row>
    <row r="46" spans="2:18" ht="13.8" thickBot="1">
      <c r="D46" s="10"/>
      <c r="E46" s="10"/>
      <c r="F46" s="10"/>
      <c r="G46" s="10"/>
      <c r="H46" s="10"/>
      <c r="I46" s="10"/>
      <c r="J46" s="10"/>
      <c r="K46" s="10"/>
      <c r="L46" s="10"/>
      <c r="Q46" t="s">
        <v>496</v>
      </c>
      <c r="R46" s="114" t="s">
        <v>432</v>
      </c>
    </row>
    <row r="47" spans="2:18" ht="13.8" thickTop="1">
      <c r="B47" s="443" t="s">
        <v>393</v>
      </c>
      <c r="C47" s="443"/>
      <c r="D47" s="443"/>
      <c r="E47" s="443"/>
      <c r="F47" s="443"/>
      <c r="G47" s="443"/>
      <c r="H47" s="443"/>
      <c r="I47" s="443"/>
      <c r="J47" s="443"/>
      <c r="K47" s="444"/>
      <c r="L47" s="444"/>
      <c r="Q47" t="s">
        <v>482</v>
      </c>
      <c r="R47" s="114" t="s">
        <v>431</v>
      </c>
    </row>
    <row r="48" spans="2:18" ht="13.8" thickBot="1">
      <c r="B48" s="389"/>
      <c r="C48" s="389"/>
      <c r="D48" s="389"/>
      <c r="E48" s="389"/>
      <c r="F48" s="389"/>
      <c r="G48" s="389"/>
      <c r="H48" s="389"/>
      <c r="I48" s="389"/>
      <c r="J48" s="389"/>
      <c r="K48" s="445"/>
      <c r="L48" s="445"/>
      <c r="Q48" t="s">
        <v>483</v>
      </c>
      <c r="R48" s="114" t="s">
        <v>430</v>
      </c>
    </row>
    <row r="49" spans="2:18">
      <c r="B49" s="506" t="s">
        <v>83</v>
      </c>
      <c r="C49" s="507"/>
      <c r="D49" s="507"/>
      <c r="E49" s="465" t="s">
        <v>60</v>
      </c>
      <c r="F49" s="465"/>
      <c r="G49" s="465"/>
      <c r="H49" s="465"/>
      <c r="I49" s="465" t="s">
        <v>61</v>
      </c>
      <c r="J49" s="447"/>
      <c r="K49" s="447"/>
      <c r="L49" s="249"/>
      <c r="Q49" t="s">
        <v>484</v>
      </c>
      <c r="R49" s="114" t="s">
        <v>432</v>
      </c>
    </row>
    <row r="50" spans="2:18">
      <c r="B50" s="379"/>
      <c r="C50" s="378"/>
      <c r="D50" s="378"/>
      <c r="E50" s="466" t="s">
        <v>192</v>
      </c>
      <c r="F50" s="315"/>
      <c r="G50" s="466" t="s">
        <v>82</v>
      </c>
      <c r="H50" s="319"/>
      <c r="I50" s="466" t="s">
        <v>192</v>
      </c>
      <c r="J50" s="315"/>
      <c r="K50" s="466" t="s">
        <v>82</v>
      </c>
      <c r="L50" s="318"/>
      <c r="Q50" t="s">
        <v>492</v>
      </c>
      <c r="R50" s="114" t="s">
        <v>430</v>
      </c>
    </row>
    <row r="51" spans="2:18">
      <c r="B51" s="460" t="s">
        <v>88</v>
      </c>
      <c r="C51" s="297"/>
      <c r="D51" s="201" t="s">
        <v>87</v>
      </c>
      <c r="E51" s="315"/>
      <c r="F51" s="315"/>
      <c r="G51" s="319"/>
      <c r="H51" s="319"/>
      <c r="I51" s="315"/>
      <c r="J51" s="315"/>
      <c r="K51" s="319"/>
      <c r="L51" s="318"/>
      <c r="Q51" s="145" t="s">
        <v>485</v>
      </c>
      <c r="R51" s="147" t="s">
        <v>429</v>
      </c>
    </row>
    <row r="52" spans="2:18">
      <c r="B52" s="379"/>
      <c r="C52" s="298"/>
      <c r="D52" s="298"/>
      <c r="E52" s="319"/>
      <c r="F52" s="319"/>
      <c r="G52" s="319"/>
      <c r="H52" s="319"/>
      <c r="I52" s="319"/>
      <c r="J52" s="319"/>
      <c r="K52" s="319"/>
      <c r="L52" s="318"/>
      <c r="Q52" t="s">
        <v>486</v>
      </c>
      <c r="R52" s="114" t="s">
        <v>431</v>
      </c>
    </row>
    <row r="53" spans="2:18">
      <c r="B53" s="259"/>
      <c r="C53" s="298"/>
      <c r="D53" s="298"/>
      <c r="E53" s="461" t="s">
        <v>223</v>
      </c>
      <c r="F53" s="461" t="s">
        <v>194</v>
      </c>
      <c r="G53" s="461" t="s">
        <v>222</v>
      </c>
      <c r="H53" s="462"/>
      <c r="I53" s="461" t="s">
        <v>193</v>
      </c>
      <c r="J53" s="461" t="s">
        <v>194</v>
      </c>
      <c r="K53" s="461" t="s">
        <v>195</v>
      </c>
      <c r="L53" s="498"/>
      <c r="Q53" t="s">
        <v>497</v>
      </c>
      <c r="R53" s="114" t="s">
        <v>432</v>
      </c>
    </row>
    <row r="54" spans="2:18">
      <c r="B54" s="259"/>
      <c r="C54" s="298"/>
      <c r="D54" s="298"/>
      <c r="E54" s="462"/>
      <c r="F54" s="462"/>
      <c r="G54" s="462"/>
      <c r="H54" s="462"/>
      <c r="I54" s="462"/>
      <c r="J54" s="462"/>
      <c r="K54" s="462"/>
      <c r="L54" s="498"/>
      <c r="Q54" t="s">
        <v>487</v>
      </c>
      <c r="R54" s="114" t="s">
        <v>429</v>
      </c>
    </row>
    <row r="55" spans="2:18">
      <c r="B55" s="458" t="s">
        <v>96</v>
      </c>
      <c r="C55" s="297"/>
      <c r="D55" s="297"/>
      <c r="E55" s="66"/>
      <c r="F55" s="66"/>
      <c r="G55" s="590">
        <v>0.27600000000000002</v>
      </c>
      <c r="H55" s="297"/>
      <c r="I55" s="184"/>
      <c r="J55" s="184"/>
      <c r="K55" s="591"/>
      <c r="L55" s="592"/>
      <c r="Q55" t="s">
        <v>498</v>
      </c>
      <c r="R55" s="114" t="s">
        <v>432</v>
      </c>
    </row>
    <row r="56" spans="2:18" ht="13.8" thickBot="1">
      <c r="B56" s="453" t="s">
        <v>97</v>
      </c>
      <c r="C56" s="454"/>
      <c r="D56" s="454"/>
      <c r="E56" s="78"/>
      <c r="F56" s="78"/>
      <c r="G56" s="497">
        <v>0.27300000000000002</v>
      </c>
      <c r="H56" s="454"/>
      <c r="I56" s="190"/>
      <c r="J56" s="190"/>
      <c r="K56" s="499"/>
      <c r="L56" s="500"/>
      <c r="Q56" t="s">
        <v>488</v>
      </c>
      <c r="R56" s="114" t="s">
        <v>430</v>
      </c>
    </row>
    <row r="57" spans="2:18">
      <c r="Q57" t="s">
        <v>489</v>
      </c>
      <c r="R57" s="114" t="s">
        <v>431</v>
      </c>
    </row>
    <row r="58" spans="2:18">
      <c r="Q58" t="s">
        <v>490</v>
      </c>
      <c r="R58" s="114" t="s">
        <v>432</v>
      </c>
    </row>
    <row r="59" spans="2:18">
      <c r="Q59" t="s">
        <v>491</v>
      </c>
      <c r="R59" s="114" t="s">
        <v>431</v>
      </c>
    </row>
    <row r="60" spans="2:18">
      <c r="Q60" t="s">
        <v>493</v>
      </c>
      <c r="R60" s="114" t="s">
        <v>430</v>
      </c>
    </row>
    <row r="61" spans="2:18">
      <c r="Q61" t="s">
        <v>494</v>
      </c>
      <c r="R61" s="114" t="s">
        <v>430</v>
      </c>
    </row>
    <row r="62" spans="2:18">
      <c r="Q62" t="s">
        <v>495</v>
      </c>
      <c r="R62" s="114" t="s">
        <v>430</v>
      </c>
    </row>
    <row r="63" spans="2:18" ht="13.8" thickBot="1">
      <c r="Q63" s="118" t="s">
        <v>499</v>
      </c>
      <c r="R63" s="148" t="s">
        <v>431</v>
      </c>
    </row>
  </sheetData>
  <sheetProtection sheet="1" objects="1" scenarios="1"/>
  <mergeCells count="80">
    <mergeCell ref="Q36:R36"/>
    <mergeCell ref="N36:O36"/>
    <mergeCell ref="B56:D56"/>
    <mergeCell ref="G56:H56"/>
    <mergeCell ref="K56:L56"/>
    <mergeCell ref="K53:L54"/>
    <mergeCell ref="B55:D55"/>
    <mergeCell ref="G55:H55"/>
    <mergeCell ref="G53:H54"/>
    <mergeCell ref="I53:I54"/>
    <mergeCell ref="J53:J54"/>
    <mergeCell ref="E53:E54"/>
    <mergeCell ref="F53:F54"/>
    <mergeCell ref="K55:L55"/>
    <mergeCell ref="K50:L52"/>
    <mergeCell ref="I50:J52"/>
    <mergeCell ref="B14:L15"/>
    <mergeCell ref="B34:D34"/>
    <mergeCell ref="B35:D35"/>
    <mergeCell ref="B20:L20"/>
    <mergeCell ref="B16:D17"/>
    <mergeCell ref="E18:E19"/>
    <mergeCell ref="F18:F19"/>
    <mergeCell ref="E16:L16"/>
    <mergeCell ref="E17:H17"/>
    <mergeCell ref="I17:L17"/>
    <mergeCell ref="K18:K19"/>
    <mergeCell ref="L18:L19"/>
    <mergeCell ref="B25:D25"/>
    <mergeCell ref="B26:D26"/>
    <mergeCell ref="B27:D27"/>
    <mergeCell ref="B30:D30"/>
    <mergeCell ref="B52:D54"/>
    <mergeCell ref="B32:D32"/>
    <mergeCell ref="B33:D33"/>
    <mergeCell ref="B36:L36"/>
    <mergeCell ref="B37:D37"/>
    <mergeCell ref="B38:D38"/>
    <mergeCell ref="B39:D39"/>
    <mergeCell ref="B40:D40"/>
    <mergeCell ref="B49:D50"/>
    <mergeCell ref="E49:H49"/>
    <mergeCell ref="I49:L49"/>
    <mergeCell ref="E50:F52"/>
    <mergeCell ref="B47:L48"/>
    <mergeCell ref="G50:H52"/>
    <mergeCell ref="B44:L44"/>
    <mergeCell ref="B42:D42"/>
    <mergeCell ref="B43:D43"/>
    <mergeCell ref="B41:D41"/>
    <mergeCell ref="B51:C51"/>
    <mergeCell ref="B23:D23"/>
    <mergeCell ref="G18:G19"/>
    <mergeCell ref="H18:H19"/>
    <mergeCell ref="B18:C18"/>
    <mergeCell ref="B31:D31"/>
    <mergeCell ref="B24:D24"/>
    <mergeCell ref="B28:L28"/>
    <mergeCell ref="B29:D29"/>
    <mergeCell ref="I18:I19"/>
    <mergeCell ref="J18:J19"/>
    <mergeCell ref="B19:D19"/>
    <mergeCell ref="B21:D21"/>
    <mergeCell ref="B22:D22"/>
    <mergeCell ref="B5:C5"/>
    <mergeCell ref="B3:R4"/>
    <mergeCell ref="B6:N6"/>
    <mergeCell ref="O6:R6"/>
    <mergeCell ref="E5:R5"/>
    <mergeCell ref="P27:R27"/>
    <mergeCell ref="N14:R15"/>
    <mergeCell ref="N16:O17"/>
    <mergeCell ref="P16:R16"/>
    <mergeCell ref="N24:O24"/>
    <mergeCell ref="N23:O23"/>
    <mergeCell ref="N22:O22"/>
    <mergeCell ref="N21:O21"/>
    <mergeCell ref="N20:O20"/>
    <mergeCell ref="N19:O19"/>
    <mergeCell ref="N18:O18"/>
  </mergeCells>
  <dataValidations count="1">
    <dataValidation type="list" allowBlank="1" showInputMessage="1" showErrorMessage="1" sqref="D18 D51 D5" xr:uid="{00000000-0002-0000-0500-000000000000}">
      <formula1>Local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80"/>
  <sheetViews>
    <sheetView workbookViewId="0">
      <selection activeCell="C13" sqref="C13"/>
    </sheetView>
  </sheetViews>
  <sheetFormatPr defaultColWidth="9.109375" defaultRowHeight="13.2"/>
  <cols>
    <col min="1" max="2" width="13.6640625" customWidth="1"/>
    <col min="3" max="3" width="27.33203125" customWidth="1"/>
    <col min="4" max="7" width="13.6640625" customWidth="1"/>
    <col min="8" max="8" width="15.33203125" customWidth="1"/>
    <col min="9" max="9" width="13.6640625" customWidth="1"/>
    <col min="10" max="10" width="15.88671875" customWidth="1"/>
    <col min="11" max="17" width="13.6640625" customWidth="1"/>
    <col min="18" max="27" width="12.6640625" customWidth="1"/>
    <col min="34" max="34" width="11" customWidth="1"/>
    <col min="35" max="35" width="12.44140625" customWidth="1"/>
    <col min="36" max="36" width="10.44140625" customWidth="1"/>
    <col min="37" max="37" width="10.6640625" customWidth="1"/>
    <col min="38" max="38" width="12.44140625" customWidth="1"/>
    <col min="39" max="39" width="10.44140625" customWidth="1"/>
    <col min="40" max="40" width="11.6640625" customWidth="1"/>
    <col min="41" max="41" width="10.44140625" customWidth="1"/>
    <col min="44" max="44" width="10.109375" customWidth="1"/>
  </cols>
  <sheetData>
    <row r="1" spans="1:53">
      <c r="L1" s="6"/>
      <c r="O1" s="1"/>
      <c r="U1" s="7"/>
    </row>
    <row r="2" spans="1:53" ht="13.8" thickBot="1">
      <c r="L2" s="6"/>
      <c r="O2" s="1"/>
      <c r="U2" s="7"/>
    </row>
    <row r="3" spans="1:53" ht="13.8" thickTop="1">
      <c r="A3" s="37"/>
      <c r="B3" s="593" t="s">
        <v>261</v>
      </c>
      <c r="C3" s="593"/>
      <c r="D3" s="593"/>
      <c r="E3" s="593"/>
      <c r="F3" s="593"/>
      <c r="G3" s="593"/>
      <c r="H3" s="593"/>
      <c r="I3" s="593"/>
      <c r="J3" s="593"/>
      <c r="K3" s="60"/>
      <c r="L3" s="45"/>
      <c r="M3" s="45"/>
      <c r="N3" s="45"/>
      <c r="O3" s="45"/>
      <c r="P3" s="45"/>
      <c r="Q3" s="45"/>
      <c r="R3" s="45"/>
      <c r="S3" s="45"/>
      <c r="T3" s="45"/>
      <c r="U3" s="69"/>
      <c r="V3" s="69"/>
      <c r="W3" s="4"/>
      <c r="X3" s="4"/>
      <c r="Y3" s="4"/>
      <c r="AH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3.8" thickBot="1">
      <c r="A4" s="4"/>
      <c r="B4" s="594"/>
      <c r="C4" s="594"/>
      <c r="D4" s="594"/>
      <c r="E4" s="594"/>
      <c r="F4" s="594"/>
      <c r="G4" s="594"/>
      <c r="H4" s="594"/>
      <c r="I4" s="594"/>
      <c r="J4" s="594"/>
      <c r="K4" s="1"/>
      <c r="L4" s="45"/>
      <c r="M4" s="45"/>
      <c r="N4" s="45"/>
      <c r="O4" s="45"/>
      <c r="P4" s="45"/>
      <c r="Q4" s="45"/>
      <c r="R4" s="45"/>
      <c r="S4" s="45"/>
      <c r="T4" s="45"/>
      <c r="U4" s="69"/>
      <c r="V4" s="69"/>
      <c r="W4" s="1"/>
      <c r="X4" s="1"/>
      <c r="Y4" s="1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>
      <c r="B5" s="368" t="s">
        <v>17</v>
      </c>
      <c r="C5" s="283"/>
      <c r="D5" s="43" t="s">
        <v>18</v>
      </c>
      <c r="E5" s="43" t="s">
        <v>19</v>
      </c>
      <c r="F5" s="43" t="s">
        <v>20</v>
      </c>
      <c r="G5" s="43" t="s">
        <v>21</v>
      </c>
      <c r="H5" s="43" t="s">
        <v>22</v>
      </c>
      <c r="I5" s="43" t="s">
        <v>23</v>
      </c>
      <c r="J5" s="91" t="s">
        <v>24</v>
      </c>
      <c r="K5" s="8"/>
      <c r="L5" s="44"/>
      <c r="M5" s="44"/>
      <c r="N5" s="44"/>
      <c r="O5" s="60"/>
      <c r="P5" s="60"/>
      <c r="Q5" s="60"/>
      <c r="R5" s="60"/>
      <c r="S5" s="60"/>
      <c r="T5" s="60"/>
      <c r="W5" s="60"/>
      <c r="X5" s="60"/>
      <c r="Y5" s="60"/>
      <c r="AH5" s="4"/>
      <c r="AI5" s="4"/>
      <c r="AJ5" s="4"/>
      <c r="AK5" s="1"/>
      <c r="AL5" s="4"/>
      <c r="AM5" s="1"/>
      <c r="AN5" s="1"/>
      <c r="AO5" s="1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9.8" customHeight="1">
      <c r="B6" s="596" t="s">
        <v>566</v>
      </c>
      <c r="C6" s="231"/>
      <c r="D6" s="312" t="s">
        <v>575</v>
      </c>
      <c r="E6" s="616"/>
      <c r="F6" s="616"/>
      <c r="G6" s="553" t="s">
        <v>576</v>
      </c>
      <c r="H6" s="312" t="s">
        <v>35</v>
      </c>
      <c r="I6" s="312" t="s">
        <v>262</v>
      </c>
      <c r="J6" s="565" t="s">
        <v>577</v>
      </c>
      <c r="L6" s="69"/>
      <c r="M6" s="69"/>
      <c r="N6" s="69"/>
      <c r="O6" s="60"/>
      <c r="P6" s="60"/>
      <c r="Q6" s="60"/>
      <c r="S6" s="4"/>
      <c r="W6" s="4"/>
      <c r="X6" s="4"/>
      <c r="Y6" s="4"/>
      <c r="AH6" s="4"/>
      <c r="AI6" s="4"/>
      <c r="AJ6" s="1"/>
      <c r="AK6" s="1"/>
      <c r="AL6" s="1"/>
      <c r="AM6" s="1"/>
      <c r="AN6" s="1"/>
      <c r="AO6" s="1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9.8" customHeight="1">
      <c r="B7" s="598" t="s">
        <v>574</v>
      </c>
      <c r="C7" s="599"/>
      <c r="D7" s="616"/>
      <c r="E7" s="616"/>
      <c r="F7" s="616"/>
      <c r="G7" s="597"/>
      <c r="H7" s="462"/>
      <c r="I7" s="312"/>
      <c r="J7" s="606"/>
      <c r="L7" s="29"/>
      <c r="M7" s="1"/>
      <c r="N7" s="1"/>
      <c r="O7" s="42"/>
      <c r="P7" s="42"/>
      <c r="Q7" s="42"/>
      <c r="R7" s="42"/>
      <c r="S7" s="42"/>
      <c r="T7" s="42"/>
      <c r="U7" s="42"/>
      <c r="V7" s="42"/>
      <c r="W7" s="1"/>
      <c r="X7" s="4"/>
      <c r="Y7" s="1"/>
      <c r="AH7" s="1"/>
      <c r="AI7" s="1"/>
      <c r="AJ7" s="1"/>
      <c r="AK7" s="1"/>
      <c r="AL7" s="87"/>
      <c r="AM7" s="87"/>
      <c r="AN7" s="87"/>
      <c r="AO7" s="87"/>
      <c r="AR7" s="26"/>
      <c r="AS7" s="30"/>
      <c r="AT7" s="30"/>
      <c r="AU7" s="30"/>
      <c r="AV7" s="30"/>
      <c r="AW7" s="30"/>
      <c r="AX7" s="30"/>
      <c r="AY7" s="30"/>
      <c r="AZ7" s="30"/>
      <c r="BA7" s="30"/>
    </row>
    <row r="8" spans="1:53" ht="19.8" customHeight="1">
      <c r="B8" s="600"/>
      <c r="C8" s="601"/>
      <c r="D8" s="562"/>
      <c r="E8" s="562"/>
      <c r="F8" s="562"/>
      <c r="G8" s="597"/>
      <c r="H8" s="462"/>
      <c r="I8" s="562"/>
      <c r="J8" s="606"/>
      <c r="K8" s="48"/>
      <c r="O8" s="39"/>
      <c r="P8" s="39"/>
      <c r="Q8" s="39"/>
      <c r="R8" s="39"/>
      <c r="S8" s="39"/>
      <c r="T8" s="39"/>
      <c r="U8" s="39"/>
      <c r="V8" s="39"/>
      <c r="W8" s="1"/>
      <c r="X8" s="1"/>
      <c r="Y8" s="1"/>
      <c r="AH8" s="1"/>
      <c r="AI8" s="1"/>
      <c r="AJ8" s="1"/>
      <c r="AK8" s="1"/>
      <c r="AL8" s="88"/>
      <c r="AM8" s="88"/>
      <c r="AN8" s="88"/>
      <c r="AO8" s="88"/>
      <c r="AR8" s="26"/>
      <c r="AS8" s="30"/>
      <c r="AT8" s="30"/>
      <c r="AU8" s="30"/>
      <c r="AV8" s="30"/>
      <c r="AW8" s="30"/>
      <c r="AX8" s="30"/>
      <c r="AY8" s="30"/>
      <c r="AZ8" s="30"/>
      <c r="BA8" s="30"/>
    </row>
    <row r="9" spans="1:53" ht="13.2" customHeight="1">
      <c r="A9" s="4"/>
      <c r="B9" s="600"/>
      <c r="C9" s="601"/>
      <c r="D9" s="358" t="s">
        <v>444</v>
      </c>
      <c r="E9" s="358" t="s">
        <v>578</v>
      </c>
      <c r="F9" s="358" t="s">
        <v>184</v>
      </c>
      <c r="G9" s="604"/>
      <c r="H9" s="462"/>
      <c r="I9" s="461" t="s">
        <v>263</v>
      </c>
      <c r="J9" s="607"/>
      <c r="K9" s="8"/>
      <c r="M9" s="71"/>
      <c r="N9" s="71"/>
      <c r="O9" s="72"/>
      <c r="P9" s="72"/>
      <c r="Q9" s="72"/>
      <c r="R9" s="36"/>
      <c r="S9" s="36"/>
      <c r="T9" s="36"/>
      <c r="U9" s="36"/>
      <c r="V9" s="36"/>
      <c r="AH9" s="29"/>
      <c r="AI9" s="1"/>
      <c r="AJ9" s="53"/>
      <c r="AK9" s="1"/>
      <c r="AL9" s="85"/>
      <c r="AM9" s="85"/>
      <c r="AN9" s="89"/>
      <c r="AO9" s="89"/>
      <c r="AR9" s="26"/>
      <c r="AS9" s="30"/>
      <c r="AT9" s="30"/>
      <c r="AU9" s="30"/>
      <c r="AV9" s="30"/>
      <c r="AW9" s="30"/>
      <c r="AX9" s="30"/>
      <c r="AY9" s="30"/>
      <c r="AZ9" s="30"/>
      <c r="BA9" s="30"/>
    </row>
    <row r="10" spans="1:53" ht="13.2" customHeight="1">
      <c r="A10" s="4"/>
      <c r="B10" s="600"/>
      <c r="C10" s="601"/>
      <c r="D10" s="317"/>
      <c r="E10" s="317"/>
      <c r="F10" s="317"/>
      <c r="G10" s="597"/>
      <c r="H10" s="562"/>
      <c r="I10" s="461"/>
      <c r="J10" s="455" t="s">
        <v>567</v>
      </c>
      <c r="K10" s="8"/>
      <c r="M10" s="71"/>
      <c r="N10" s="71"/>
      <c r="O10" s="72"/>
      <c r="P10" s="72"/>
      <c r="Q10" s="72"/>
      <c r="R10" s="36"/>
      <c r="S10" s="36"/>
      <c r="T10" s="36"/>
      <c r="U10" s="36"/>
      <c r="V10" s="36"/>
      <c r="AH10" s="29"/>
      <c r="AI10" s="1"/>
      <c r="AJ10" s="53"/>
      <c r="AK10" s="1"/>
      <c r="AL10" s="85"/>
      <c r="AM10" s="85"/>
      <c r="AN10" s="89"/>
      <c r="AO10" s="89"/>
      <c r="AR10" s="26"/>
      <c r="AS10" s="30"/>
      <c r="AT10" s="30"/>
      <c r="AU10" s="30"/>
      <c r="AV10" s="30"/>
      <c r="AW10" s="30"/>
      <c r="AX10" s="30"/>
      <c r="AY10" s="30"/>
      <c r="AZ10" s="30"/>
      <c r="BA10" s="30"/>
    </row>
    <row r="11" spans="1:53" ht="13.2" customHeight="1" thickBot="1">
      <c r="A11" s="26"/>
      <c r="B11" s="602"/>
      <c r="C11" s="603"/>
      <c r="D11" s="617"/>
      <c r="E11" s="617"/>
      <c r="F11" s="617"/>
      <c r="G11" s="605"/>
      <c r="H11" s="595"/>
      <c r="I11" s="595"/>
      <c r="J11" s="608"/>
      <c r="K11" s="7"/>
      <c r="L11" s="70"/>
      <c r="M11" s="71"/>
      <c r="N11" s="71"/>
      <c r="O11" s="36"/>
      <c r="P11" s="36"/>
      <c r="Q11" s="36"/>
      <c r="R11" s="36"/>
      <c r="S11" s="36"/>
      <c r="T11" s="36"/>
      <c r="U11" s="36"/>
      <c r="V11" s="36"/>
      <c r="W11" s="10"/>
      <c r="X11" s="10"/>
      <c r="Y11" s="10"/>
      <c r="AH11" s="1"/>
      <c r="AI11" s="1"/>
      <c r="AJ11" s="1"/>
      <c r="AK11" s="1"/>
      <c r="AL11" s="85"/>
      <c r="AM11" s="85"/>
      <c r="AN11" s="85"/>
      <c r="AO11" s="85"/>
      <c r="AR11" s="26"/>
      <c r="AS11" s="30"/>
      <c r="AT11" s="30"/>
      <c r="AU11" s="30"/>
      <c r="AV11" s="30"/>
      <c r="AW11" s="30"/>
      <c r="AX11" s="30"/>
      <c r="AY11" s="30"/>
      <c r="AZ11" s="30"/>
      <c r="BA11" s="30"/>
    </row>
    <row r="12" spans="1:53">
      <c r="A12" s="26"/>
      <c r="B12" s="410" t="s">
        <v>232</v>
      </c>
      <c r="C12" s="410"/>
      <c r="D12" s="410"/>
      <c r="E12" s="410"/>
      <c r="F12" s="410"/>
      <c r="G12" s="410"/>
      <c r="H12" s="410"/>
      <c r="I12" s="410"/>
      <c r="J12" s="410"/>
      <c r="K12" s="7"/>
      <c r="L12" s="70"/>
      <c r="M12" s="71"/>
      <c r="N12" s="71"/>
      <c r="O12" s="36"/>
      <c r="P12" s="36"/>
      <c r="Q12" s="36"/>
      <c r="R12" s="36"/>
      <c r="S12" s="36"/>
      <c r="T12" s="36"/>
      <c r="U12" s="36"/>
      <c r="V12" s="36"/>
      <c r="W12" s="10"/>
      <c r="X12" s="10"/>
      <c r="Y12" s="10"/>
      <c r="AH12" s="1"/>
      <c r="AI12" s="1"/>
      <c r="AJ12" s="1"/>
      <c r="AK12" s="1"/>
      <c r="AL12" s="85"/>
      <c r="AM12" s="85"/>
      <c r="AN12" s="85"/>
      <c r="AO12" s="85"/>
      <c r="AR12" s="26"/>
      <c r="AS12" s="30"/>
      <c r="AT12" s="30"/>
      <c r="AU12" s="30"/>
      <c r="AV12" s="30"/>
      <c r="AW12" s="30"/>
      <c r="AX12" s="30"/>
      <c r="AY12" s="30"/>
      <c r="AZ12" s="30"/>
      <c r="BA12" s="30"/>
    </row>
    <row r="13" spans="1:53">
      <c r="A13" s="26"/>
      <c r="B13" s="27" t="s">
        <v>563</v>
      </c>
      <c r="C13" s="216" t="s">
        <v>561</v>
      </c>
      <c r="D13" s="3">
        <f>E13+F13</f>
        <v>3.7278306393355747</v>
      </c>
      <c r="E13" s="3">
        <f>IF(LEN($C13)&gt;0,'Rural Divided Multilane Seg'!D69,0)</f>
        <v>1.1183491918006723</v>
      </c>
      <c r="F13" s="3">
        <f>IF(LEN($C13)&gt;0,'Rural Divided Multilane Seg'!D71,0)</f>
        <v>2.6094814475349022</v>
      </c>
      <c r="G13" s="215">
        <v>4</v>
      </c>
      <c r="H13" s="3">
        <f>+'Rural Divided Multilane Seg'!H37</f>
        <v>0.61099999999999999</v>
      </c>
      <c r="I13" s="96">
        <f>1/(1+H13*D13)</f>
        <v>0.30509156444845154</v>
      </c>
      <c r="J13" s="140">
        <f>IF(LEN($C13)&gt;0,I13*+D13+((1-I13)*G13),0)</f>
        <v>3.9169634239599556</v>
      </c>
      <c r="K13" s="214"/>
      <c r="L13" s="70"/>
      <c r="M13" s="71"/>
      <c r="N13" s="71"/>
      <c r="O13" s="36"/>
      <c r="P13" s="36"/>
      <c r="Q13" s="36"/>
      <c r="R13" s="36"/>
      <c r="S13" s="36"/>
      <c r="T13" s="36"/>
      <c r="U13" s="36"/>
      <c r="V13" s="36"/>
      <c r="W13" s="10"/>
      <c r="X13" s="10"/>
      <c r="Y13" s="10"/>
      <c r="AH13" s="54"/>
      <c r="AI13" s="38"/>
      <c r="AJ13" s="53"/>
      <c r="AK13" s="1"/>
      <c r="AL13" s="85"/>
      <c r="AM13" s="85"/>
      <c r="AN13" s="89"/>
      <c r="AO13" s="89"/>
      <c r="AR13" s="81"/>
    </row>
    <row r="14" spans="1:53">
      <c r="A14" s="26"/>
      <c r="B14" s="27" t="s">
        <v>564</v>
      </c>
      <c r="C14" s="216" t="s">
        <v>562</v>
      </c>
      <c r="D14" s="3">
        <f t="shared" ref="D14:D20" si="0">E14+F14</f>
        <v>0.17862348364187067</v>
      </c>
      <c r="E14" s="3">
        <f>IF(LEN($C14)&gt;0,'Rural Undivided Multilane Seg'!D69,0)</f>
        <v>5.3587045092561202E-2</v>
      </c>
      <c r="F14" s="3">
        <f>IF(LEN($C14)&gt;0,'Rural Undivided Multilane Seg'!D71,0)</f>
        <v>0.12503643854930946</v>
      </c>
      <c r="G14" s="215">
        <v>2</v>
      </c>
      <c r="H14" s="3">
        <f>+'Rural Undivided Multilane Seg'!H37:I37</f>
        <v>0.65900000000000003</v>
      </c>
      <c r="I14" s="96">
        <f>1/(1+H14*D14)</f>
        <v>0.89468415522710509</v>
      </c>
      <c r="J14" s="140">
        <f t="shared" ref="J14:J20" si="1">IF(LEN($C14)&gt;0,I14*+D14+((1-I14)*G14),0)</f>
        <v>0.37044329011163946</v>
      </c>
      <c r="K14" s="7"/>
      <c r="L14" s="70"/>
      <c r="M14" s="71"/>
      <c r="N14" s="71"/>
      <c r="O14" s="36"/>
      <c r="P14" s="36"/>
      <c r="Q14" s="36"/>
      <c r="R14" s="36"/>
      <c r="S14" s="36"/>
      <c r="T14" s="36"/>
      <c r="U14" s="36"/>
      <c r="V14" s="36"/>
      <c r="W14" s="10"/>
      <c r="X14" s="10"/>
      <c r="Y14" s="10"/>
      <c r="AH14" s="38"/>
      <c r="AI14" s="38"/>
      <c r="AJ14" s="1"/>
      <c r="AK14" s="1"/>
      <c r="AL14" s="85"/>
      <c r="AM14" s="85"/>
      <c r="AN14" s="85"/>
      <c r="AO14" s="85"/>
    </row>
    <row r="15" spans="1:53">
      <c r="A15" s="26"/>
      <c r="B15" s="27" t="s">
        <v>234</v>
      </c>
      <c r="C15" s="216"/>
      <c r="D15" s="3">
        <f t="shared" si="0"/>
        <v>0</v>
      </c>
      <c r="E15" s="150"/>
      <c r="F15" s="150"/>
      <c r="G15" s="157"/>
      <c r="H15" s="150"/>
      <c r="I15" s="96">
        <f t="shared" ref="I15:I20" si="2">1/(1+H15*D15)</f>
        <v>1</v>
      </c>
      <c r="J15" s="140">
        <f t="shared" si="1"/>
        <v>0</v>
      </c>
      <c r="K15" s="7"/>
      <c r="L15" s="70"/>
      <c r="M15" s="71"/>
      <c r="N15" s="71"/>
      <c r="O15" s="36"/>
      <c r="P15" s="36"/>
      <c r="Q15" s="36"/>
      <c r="R15" s="36"/>
      <c r="S15" s="36"/>
      <c r="T15" s="36"/>
      <c r="U15" s="36"/>
      <c r="V15" s="36"/>
      <c r="W15" s="10"/>
      <c r="X15" s="10"/>
      <c r="Y15" s="10"/>
      <c r="AH15" s="38"/>
      <c r="AI15" s="38"/>
      <c r="AJ15" s="53"/>
      <c r="AK15" s="30"/>
      <c r="AL15" s="30"/>
      <c r="AM15" s="30"/>
      <c r="AN15" s="30"/>
      <c r="AO15" s="30"/>
    </row>
    <row r="16" spans="1:53">
      <c r="A16" s="26"/>
      <c r="B16" s="27" t="s">
        <v>235</v>
      </c>
      <c r="C16" s="217"/>
      <c r="D16" s="3">
        <f t="shared" si="0"/>
        <v>0</v>
      </c>
      <c r="E16" s="150"/>
      <c r="F16" s="150"/>
      <c r="G16" s="158"/>
      <c r="H16" s="150"/>
      <c r="I16" s="96">
        <f t="shared" si="2"/>
        <v>1</v>
      </c>
      <c r="J16" s="140">
        <f t="shared" si="1"/>
        <v>0</v>
      </c>
      <c r="K16" s="7"/>
      <c r="L16" s="70"/>
      <c r="M16" s="71"/>
      <c r="N16" s="71"/>
      <c r="O16" s="36"/>
      <c r="P16" s="36"/>
      <c r="Q16" s="36"/>
      <c r="R16" s="36"/>
      <c r="S16" s="36"/>
      <c r="T16" s="36"/>
      <c r="U16" s="36"/>
      <c r="V16" s="36"/>
      <c r="W16" s="10"/>
      <c r="X16" s="10"/>
      <c r="Y16" s="10"/>
      <c r="AH16" s="79"/>
      <c r="AI16" s="79"/>
      <c r="AJ16" s="18"/>
      <c r="AK16" s="18"/>
      <c r="AL16" s="18"/>
      <c r="AM16" s="18"/>
      <c r="AN16" s="18"/>
      <c r="AO16" s="18"/>
    </row>
    <row r="17" spans="1:48">
      <c r="A17" s="26"/>
      <c r="B17" s="27" t="s">
        <v>236</v>
      </c>
      <c r="C17" s="217"/>
      <c r="D17" s="3">
        <f t="shared" si="0"/>
        <v>0</v>
      </c>
      <c r="E17" s="150"/>
      <c r="F17" s="150"/>
      <c r="G17" s="157"/>
      <c r="H17" s="150"/>
      <c r="I17" s="96">
        <f t="shared" si="2"/>
        <v>1</v>
      </c>
      <c r="J17" s="140">
        <f t="shared" si="1"/>
        <v>0</v>
      </c>
      <c r="K17" s="7"/>
      <c r="L17" s="26"/>
      <c r="O17" s="36"/>
      <c r="P17" s="36"/>
      <c r="Q17" s="36"/>
      <c r="R17" s="36"/>
      <c r="S17" s="36"/>
      <c r="T17" s="36"/>
      <c r="U17" s="36"/>
      <c r="V17" s="36"/>
      <c r="W17" s="10"/>
      <c r="X17" s="10"/>
      <c r="Y17" s="10"/>
      <c r="AH17" s="18"/>
      <c r="AI17" s="18"/>
      <c r="AJ17" s="18"/>
      <c r="AK17" s="18"/>
      <c r="AL17" s="18"/>
      <c r="AM17" s="18"/>
      <c r="AN17" s="18"/>
      <c r="AO17" s="18"/>
      <c r="AR17" s="26"/>
      <c r="AV17" s="30"/>
    </row>
    <row r="18" spans="1:48">
      <c r="A18" s="26"/>
      <c r="B18" s="27" t="s">
        <v>237</v>
      </c>
      <c r="C18" s="217"/>
      <c r="D18" s="3">
        <f t="shared" si="0"/>
        <v>0</v>
      </c>
      <c r="E18" s="150"/>
      <c r="F18" s="150"/>
      <c r="G18" s="159"/>
      <c r="H18" s="150"/>
      <c r="I18" s="96">
        <f t="shared" si="2"/>
        <v>1</v>
      </c>
      <c r="J18" s="140">
        <f t="shared" si="1"/>
        <v>0</v>
      </c>
      <c r="K18" s="7"/>
      <c r="L18" s="73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10"/>
      <c r="X18" s="10"/>
      <c r="Y18" s="10"/>
      <c r="AH18" s="18"/>
      <c r="AI18" s="79"/>
      <c r="AJ18" s="18"/>
      <c r="AK18" s="18"/>
      <c r="AL18" s="18"/>
      <c r="AM18" s="18"/>
      <c r="AN18" s="18"/>
      <c r="AO18" s="18"/>
    </row>
    <row r="19" spans="1:48">
      <c r="A19" s="26"/>
      <c r="B19" s="27" t="s">
        <v>238</v>
      </c>
      <c r="C19" s="217"/>
      <c r="D19" s="3">
        <f t="shared" si="0"/>
        <v>0</v>
      </c>
      <c r="E19" s="150"/>
      <c r="F19" s="150"/>
      <c r="G19" s="160"/>
      <c r="H19" s="150"/>
      <c r="I19" s="96">
        <f t="shared" si="2"/>
        <v>1</v>
      </c>
      <c r="J19" s="140">
        <f t="shared" si="1"/>
        <v>0</v>
      </c>
      <c r="K19" s="6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0"/>
      <c r="X19" s="10"/>
      <c r="Y19" s="10"/>
      <c r="AH19" s="18"/>
      <c r="AI19" s="18"/>
      <c r="AJ19" s="18"/>
      <c r="AK19" s="18"/>
      <c r="AL19" s="18"/>
      <c r="AM19" s="18"/>
      <c r="AN19" s="18"/>
      <c r="AO19" s="18"/>
      <c r="AR19" s="26"/>
      <c r="AV19" s="30"/>
    </row>
    <row r="20" spans="1:48" ht="13.8" thickBot="1">
      <c r="B20" s="28" t="s">
        <v>239</v>
      </c>
      <c r="C20" s="218"/>
      <c r="D20" s="51">
        <f t="shared" si="0"/>
        <v>0</v>
      </c>
      <c r="E20" s="151"/>
      <c r="F20" s="151"/>
      <c r="G20" s="161"/>
      <c r="H20" s="151"/>
      <c r="I20" s="96">
        <f t="shared" si="2"/>
        <v>1</v>
      </c>
      <c r="J20" s="140">
        <f t="shared" si="1"/>
        <v>0</v>
      </c>
      <c r="K20" s="61"/>
      <c r="L20" s="45"/>
      <c r="M20" s="45"/>
      <c r="N20" s="45"/>
      <c r="O20" s="45"/>
      <c r="P20" s="45"/>
      <c r="Q20" s="45"/>
      <c r="R20" s="45"/>
      <c r="S20" s="45"/>
      <c r="T20" s="45"/>
      <c r="U20" s="69"/>
      <c r="V20" s="69"/>
      <c r="W20" s="10"/>
      <c r="X20" s="10"/>
      <c r="Y20" s="10"/>
    </row>
    <row r="21" spans="1:48">
      <c r="B21" s="410" t="s">
        <v>233</v>
      </c>
      <c r="C21" s="410"/>
      <c r="D21" s="410"/>
      <c r="E21" s="410"/>
      <c r="F21" s="410"/>
      <c r="G21" s="410"/>
      <c r="H21" s="410"/>
      <c r="I21" s="410"/>
      <c r="J21" s="410"/>
      <c r="K21" s="60"/>
      <c r="L21" s="45"/>
      <c r="M21" s="45"/>
      <c r="N21" s="45"/>
      <c r="O21" s="45"/>
      <c r="P21" s="45"/>
      <c r="Q21" s="45"/>
      <c r="R21" s="45"/>
      <c r="S21" s="45"/>
      <c r="T21" s="45"/>
      <c r="U21" s="69"/>
      <c r="V21" s="69"/>
      <c r="W21" s="1"/>
      <c r="X21" s="1"/>
      <c r="Y21" s="1"/>
      <c r="Z21" s="1"/>
      <c r="AA21" s="1"/>
      <c r="AB21" s="1"/>
      <c r="AC21" s="1"/>
      <c r="AD21" s="1"/>
      <c r="AE21" s="1"/>
      <c r="AH21" s="4"/>
      <c r="AI21" s="4"/>
      <c r="AJ21" s="4"/>
      <c r="AK21" s="4"/>
      <c r="AL21" s="4"/>
      <c r="AM21" s="1"/>
      <c r="AN21" s="1"/>
      <c r="AO21" s="1"/>
    </row>
    <row r="22" spans="1:48">
      <c r="A22" s="41"/>
      <c r="B22" s="27" t="s">
        <v>227</v>
      </c>
      <c r="C22" s="216" t="s">
        <v>565</v>
      </c>
      <c r="D22" s="3">
        <f t="shared" ref="D22:D29" si="3">E22+F22</f>
        <v>0.47706351841566896</v>
      </c>
      <c r="E22" s="3">
        <f>IF(LEN($C22)&gt;0,'Rural Multilane Intersection'!G68,0)</f>
        <v>6.061470699614023E-2</v>
      </c>
      <c r="F22" s="3">
        <f>IF(LEN($C22)&gt;0,'Rural Multilane Intersection'!G70,0)</f>
        <v>0.41644881141952872</v>
      </c>
      <c r="G22" s="215">
        <v>3</v>
      </c>
      <c r="H22" s="3">
        <f>+'Rural Multilane Intersection'!H36:I36</f>
        <v>0.51200000000000001</v>
      </c>
      <c r="I22" s="96">
        <f>1/(1+H22*D22)</f>
        <v>0.8036927938715287</v>
      </c>
      <c r="J22" s="140">
        <f t="shared" ref="J22:J29" si="4">IF(LEN($C22)&gt;0,I22*+D22+((1-I22)*G22),0)</f>
        <v>0.97233413035508431</v>
      </c>
      <c r="K22" s="8"/>
      <c r="L22" s="69"/>
      <c r="M22" s="69"/>
      <c r="N22" s="69"/>
      <c r="O22" s="4"/>
      <c r="P22" s="1"/>
      <c r="Q22" s="4"/>
      <c r="S22" s="4"/>
      <c r="T22" s="1"/>
      <c r="U22" s="4"/>
      <c r="W22" s="60"/>
      <c r="X22" s="60"/>
      <c r="Y22" s="60"/>
      <c r="Z22" s="60"/>
      <c r="AA22" s="60"/>
      <c r="AB22" s="60"/>
      <c r="AC22" s="60"/>
      <c r="AD22" s="60"/>
      <c r="AE22" s="60"/>
      <c r="AH22" s="4"/>
      <c r="AI22" s="4"/>
      <c r="AJ22" s="4"/>
      <c r="AK22" s="1"/>
      <c r="AL22" s="4"/>
      <c r="AM22" s="1"/>
      <c r="AN22" s="1"/>
      <c r="AO22" s="1"/>
    </row>
    <row r="23" spans="1:48">
      <c r="A23" s="94"/>
      <c r="B23" s="174" t="s">
        <v>228</v>
      </c>
      <c r="C23" s="216"/>
      <c r="D23" s="96">
        <f t="shared" si="3"/>
        <v>0</v>
      </c>
      <c r="E23" s="152"/>
      <c r="F23" s="153"/>
      <c r="G23" s="157"/>
      <c r="H23" s="163"/>
      <c r="I23" s="96">
        <f t="shared" ref="I23:I29" si="5">1/(1+H23*D23)</f>
        <v>1</v>
      </c>
      <c r="J23" s="140">
        <f t="shared" si="4"/>
        <v>0</v>
      </c>
      <c r="L23" s="29"/>
      <c r="M23" s="1"/>
      <c r="N23" s="1"/>
      <c r="O23" s="1"/>
      <c r="P23" s="1"/>
      <c r="S23" s="1"/>
      <c r="T23" s="1"/>
      <c r="W23" s="45"/>
      <c r="X23" s="45"/>
      <c r="Y23" s="45"/>
      <c r="Z23" s="45"/>
      <c r="AA23" s="45"/>
      <c r="AB23" s="45"/>
      <c r="AC23" s="45"/>
      <c r="AD23" s="45"/>
      <c r="AE23" s="45"/>
      <c r="AH23" s="4"/>
      <c r="AI23" s="4"/>
      <c r="AJ23" s="1"/>
      <c r="AK23" s="1"/>
      <c r="AL23" s="1"/>
      <c r="AM23" s="1"/>
      <c r="AN23" s="1"/>
      <c r="AO23" s="1"/>
    </row>
    <row r="24" spans="1:48">
      <c r="A24" s="69"/>
      <c r="B24" s="27" t="s">
        <v>240</v>
      </c>
      <c r="C24" s="217"/>
      <c r="D24" s="212">
        <f t="shared" si="3"/>
        <v>0</v>
      </c>
      <c r="E24" s="154"/>
      <c r="F24" s="153"/>
      <c r="G24" s="157"/>
      <c r="H24" s="163"/>
      <c r="I24" s="96">
        <f t="shared" si="5"/>
        <v>1</v>
      </c>
      <c r="J24" s="140">
        <f t="shared" si="4"/>
        <v>0</v>
      </c>
      <c r="L24" s="69"/>
      <c r="W24" s="45"/>
      <c r="X24" s="45"/>
      <c r="Y24" s="45"/>
      <c r="Z24" s="45"/>
      <c r="AA24" s="45"/>
      <c r="AB24" s="45"/>
      <c r="AC24" s="45"/>
      <c r="AD24" s="45"/>
      <c r="AE24" s="45"/>
      <c r="AH24" s="1"/>
      <c r="AI24" s="1"/>
      <c r="AJ24" s="1"/>
      <c r="AK24" s="1"/>
      <c r="AL24" s="87"/>
      <c r="AM24" s="87"/>
      <c r="AN24" s="87"/>
      <c r="AO24" s="87"/>
    </row>
    <row r="25" spans="1:48">
      <c r="A25" s="69"/>
      <c r="B25" s="174" t="s">
        <v>241</v>
      </c>
      <c r="C25" s="217"/>
      <c r="D25" s="212">
        <f t="shared" si="3"/>
        <v>0</v>
      </c>
      <c r="E25" s="155"/>
      <c r="F25" s="153"/>
      <c r="G25" s="157"/>
      <c r="H25" s="163"/>
      <c r="I25" s="96">
        <f t="shared" si="5"/>
        <v>1</v>
      </c>
      <c r="J25" s="140">
        <f t="shared" si="4"/>
        <v>0</v>
      </c>
      <c r="O25" s="42"/>
      <c r="P25" s="42"/>
      <c r="Q25" s="42"/>
      <c r="R25" s="39"/>
      <c r="S25" s="42"/>
      <c r="T25" s="42"/>
      <c r="U25" s="42"/>
      <c r="V25" s="39"/>
      <c r="W25" s="64"/>
      <c r="X25" s="64"/>
      <c r="Y25" s="64"/>
      <c r="Z25" s="64"/>
      <c r="AA25" s="64"/>
      <c r="AB25" s="64"/>
      <c r="AC25" s="64"/>
      <c r="AD25" s="64"/>
      <c r="AE25" s="64"/>
      <c r="AH25" s="1"/>
      <c r="AI25" s="1"/>
      <c r="AJ25" s="1"/>
      <c r="AK25" s="1"/>
      <c r="AL25" s="88"/>
      <c r="AM25" s="88"/>
      <c r="AN25" s="88"/>
      <c r="AO25" s="88"/>
    </row>
    <row r="26" spans="1:48">
      <c r="A26" s="59"/>
      <c r="B26" s="27" t="s">
        <v>242</v>
      </c>
      <c r="C26" s="217"/>
      <c r="D26" s="96">
        <f t="shared" si="3"/>
        <v>0</v>
      </c>
      <c r="E26" s="152"/>
      <c r="F26" s="152"/>
      <c r="G26" s="160"/>
      <c r="H26" s="150"/>
      <c r="I26" s="96">
        <f t="shared" si="5"/>
        <v>1</v>
      </c>
      <c r="J26" s="140">
        <f t="shared" si="4"/>
        <v>0</v>
      </c>
      <c r="K26" s="48"/>
      <c r="O26" s="39"/>
      <c r="P26" s="39"/>
      <c r="Q26" s="39"/>
      <c r="R26" s="39"/>
      <c r="S26" s="39"/>
      <c r="T26" s="39"/>
      <c r="U26" s="39"/>
      <c r="V26" s="39"/>
      <c r="W26" s="65"/>
      <c r="X26" s="65"/>
      <c r="Y26" s="65"/>
      <c r="Z26" s="65"/>
      <c r="AA26" s="65"/>
      <c r="AB26" s="65"/>
      <c r="AC26" s="65"/>
      <c r="AD26" s="65"/>
      <c r="AE26" s="65"/>
      <c r="AH26" s="29"/>
      <c r="AI26" s="1"/>
      <c r="AJ26" s="53"/>
      <c r="AK26" s="1"/>
      <c r="AL26" s="85"/>
      <c r="AM26" s="85"/>
      <c r="AN26" s="89"/>
      <c r="AO26" s="89"/>
    </row>
    <row r="27" spans="1:48">
      <c r="A27" s="59"/>
      <c r="B27" s="174" t="s">
        <v>243</v>
      </c>
      <c r="C27" s="217"/>
      <c r="D27" s="96">
        <f t="shared" si="3"/>
        <v>0</v>
      </c>
      <c r="E27" s="152"/>
      <c r="F27" s="152"/>
      <c r="G27" s="160"/>
      <c r="H27" s="150"/>
      <c r="I27" s="96">
        <f t="shared" si="5"/>
        <v>1</v>
      </c>
      <c r="J27" s="140">
        <f t="shared" si="4"/>
        <v>0</v>
      </c>
      <c r="K27" s="4"/>
      <c r="L27" s="70"/>
      <c r="M27" s="1"/>
      <c r="N27" s="1"/>
      <c r="O27" s="72"/>
      <c r="P27" s="72"/>
      <c r="Q27" s="72"/>
      <c r="R27" s="1"/>
      <c r="S27" s="36"/>
      <c r="T27" s="36"/>
      <c r="U27" s="36"/>
      <c r="V27" s="36"/>
      <c r="W27" s="4"/>
      <c r="X27" s="1"/>
      <c r="Y27" s="1"/>
      <c r="Z27" s="1"/>
      <c r="AA27" s="1"/>
      <c r="AB27" s="1"/>
      <c r="AC27" s="1"/>
      <c r="AD27" s="1"/>
      <c r="AE27" s="1"/>
      <c r="AH27" s="1"/>
      <c r="AI27" s="1"/>
      <c r="AJ27" s="1"/>
      <c r="AK27" s="1"/>
      <c r="AL27" s="85"/>
      <c r="AM27" s="85"/>
      <c r="AN27" s="85"/>
      <c r="AO27" s="85"/>
    </row>
    <row r="28" spans="1:48">
      <c r="A28" s="30"/>
      <c r="B28" s="27" t="s">
        <v>244</v>
      </c>
      <c r="C28" s="217"/>
      <c r="D28" s="96">
        <f t="shared" si="3"/>
        <v>0</v>
      </c>
      <c r="E28" s="152"/>
      <c r="F28" s="152"/>
      <c r="G28" s="160"/>
      <c r="H28" s="150"/>
      <c r="I28" s="96">
        <f t="shared" si="5"/>
        <v>1</v>
      </c>
      <c r="J28" s="140">
        <f t="shared" si="4"/>
        <v>0</v>
      </c>
      <c r="K28" s="4"/>
      <c r="L28" s="70"/>
      <c r="M28" s="1"/>
      <c r="N28" s="1"/>
      <c r="O28" s="72"/>
      <c r="P28" s="72"/>
      <c r="Q28" s="72"/>
      <c r="R28" s="1"/>
      <c r="S28" s="36"/>
      <c r="T28" s="36"/>
      <c r="U28" s="36"/>
      <c r="V28" s="36"/>
      <c r="W28" s="4"/>
      <c r="X28" s="1"/>
      <c r="Y28" s="1"/>
      <c r="Z28" s="1"/>
      <c r="AA28" s="1"/>
      <c r="AB28" s="1"/>
      <c r="AC28" s="1"/>
      <c r="AD28" s="1"/>
      <c r="AE28" s="1"/>
      <c r="AH28" s="1"/>
      <c r="AI28" s="1"/>
      <c r="AJ28" s="1"/>
      <c r="AK28" s="1"/>
      <c r="AL28" s="85"/>
      <c r="AM28" s="85"/>
      <c r="AN28" s="85"/>
      <c r="AO28" s="85"/>
    </row>
    <row r="29" spans="1:48" ht="13.8" thickBot="1">
      <c r="A29" s="26"/>
      <c r="B29" s="175" t="s">
        <v>245</v>
      </c>
      <c r="C29" s="219"/>
      <c r="D29" s="213">
        <f t="shared" si="3"/>
        <v>0</v>
      </c>
      <c r="E29" s="156"/>
      <c r="F29" s="156"/>
      <c r="G29" s="162"/>
      <c r="H29" s="164"/>
      <c r="I29" s="96">
        <f t="shared" si="5"/>
        <v>1</v>
      </c>
      <c r="J29" s="140">
        <f t="shared" si="4"/>
        <v>0</v>
      </c>
      <c r="K29" s="61"/>
      <c r="L29" s="70"/>
      <c r="M29" s="71"/>
      <c r="N29" s="71"/>
      <c r="Q29" s="36"/>
      <c r="R29" s="36"/>
      <c r="S29" s="36"/>
      <c r="T29" s="36"/>
      <c r="U29" s="36"/>
      <c r="V29" s="36"/>
      <c r="W29" s="10"/>
      <c r="X29" s="10"/>
      <c r="Y29" s="10"/>
      <c r="Z29" s="10"/>
      <c r="AA29" s="10"/>
      <c r="AB29" s="10"/>
      <c r="AC29" s="10"/>
      <c r="AD29" s="10"/>
      <c r="AE29" s="10"/>
      <c r="AH29" s="54"/>
      <c r="AI29" s="38"/>
      <c r="AJ29" s="53"/>
      <c r="AK29" s="1"/>
      <c r="AL29" s="85"/>
      <c r="AM29" s="85"/>
      <c r="AN29" s="89"/>
      <c r="AO29" s="89"/>
    </row>
    <row r="30" spans="1:48" ht="14.4" thickTop="1" thickBot="1">
      <c r="A30" s="37"/>
      <c r="B30" s="614" t="s">
        <v>229</v>
      </c>
      <c r="C30" s="615"/>
      <c r="D30" s="98">
        <f>SUMIF($C13:$C20,"&lt;&gt;",D13:D20)+SUMIF($C22:$C29,"&lt;&gt;",D22:D29)</f>
        <v>4.3835176413931141</v>
      </c>
      <c r="E30" s="98">
        <f t="shared" ref="E30:F30" si="6">SUMIF($C13:$C20,"&lt;&gt;",E13:E20)+SUMIF($C22:$C29,"&lt;&gt;",E22:E29)</f>
        <v>1.2325509438893738</v>
      </c>
      <c r="F30" s="98">
        <f t="shared" si="6"/>
        <v>3.1509666975037405</v>
      </c>
      <c r="G30" s="95">
        <f>IF(COUNTBLANK(G13:G20)+COUNTBLANK(G22:G29)&lt;16,SUMIF($C13:$C20,"&lt;&gt;",G13:G20)+SUMIF($C22:$C29,"&lt;&gt;",G22:G29),"--")</f>
        <v>9</v>
      </c>
      <c r="H30" s="100" t="s">
        <v>15</v>
      </c>
      <c r="I30" s="100" t="s">
        <v>15</v>
      </c>
      <c r="J30" s="140">
        <f>SUM(J13:J20)+SUM(J22:J29)</f>
        <v>5.2597408444266796</v>
      </c>
      <c r="K30" s="61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H30" s="38"/>
      <c r="AI30" s="38"/>
      <c r="AJ30" s="1"/>
      <c r="AK30" s="1"/>
      <c r="AL30" s="85"/>
      <c r="AM30" s="85"/>
      <c r="AN30" s="85"/>
      <c r="AO30" s="85"/>
    </row>
    <row r="31" spans="1:48">
      <c r="A31" s="22"/>
      <c r="B31" s="46"/>
      <c r="C31" s="41"/>
      <c r="D31" s="41"/>
      <c r="F31" s="22"/>
      <c r="H31" s="22"/>
      <c r="K31" s="61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H31" s="38"/>
      <c r="AI31" s="38"/>
      <c r="AJ31" s="53"/>
      <c r="AK31" s="30"/>
      <c r="AL31" s="30"/>
      <c r="AM31" s="30"/>
      <c r="AN31" s="30"/>
      <c r="AO31" s="30"/>
    </row>
    <row r="32" spans="1:48">
      <c r="A32" s="45"/>
      <c r="B32" s="46"/>
      <c r="C32" s="74"/>
      <c r="D32" s="45"/>
      <c r="E32" s="45"/>
      <c r="F32" s="45"/>
      <c r="G32" s="1"/>
      <c r="H32" s="45"/>
      <c r="K32" s="61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H32" s="79"/>
      <c r="AI32" s="79"/>
      <c r="AJ32" s="18"/>
      <c r="AK32" s="18"/>
      <c r="AL32" s="18"/>
      <c r="AM32" s="18"/>
      <c r="AN32" s="18"/>
      <c r="AO32" s="18"/>
    </row>
    <row r="33" spans="1:49" ht="13.8" thickBot="1">
      <c r="B33" s="46"/>
      <c r="C33" s="29"/>
      <c r="D33" s="1"/>
      <c r="E33" s="1"/>
      <c r="K33" s="61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H33" s="9"/>
      <c r="AI33" s="18"/>
      <c r="AJ33" s="18"/>
      <c r="AK33" s="18"/>
      <c r="AL33" s="18"/>
      <c r="AM33" s="18"/>
      <c r="AN33" s="18"/>
      <c r="AO33" s="18"/>
    </row>
    <row r="34" spans="1:49" ht="13.8" thickTop="1">
      <c r="B34" s="593" t="s">
        <v>264</v>
      </c>
      <c r="C34" s="593"/>
      <c r="D34" s="593"/>
      <c r="E34" s="593"/>
      <c r="F34" s="593"/>
      <c r="G34" s="593"/>
      <c r="H34" s="593"/>
      <c r="I34" s="593"/>
      <c r="J34" s="593"/>
      <c r="K34" s="61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H34" s="90"/>
      <c r="AI34" s="79"/>
      <c r="AJ34" s="18"/>
      <c r="AK34" s="18"/>
      <c r="AL34" s="18"/>
      <c r="AM34" s="18"/>
      <c r="AN34" s="18"/>
      <c r="AO34" s="18"/>
    </row>
    <row r="35" spans="1:49" ht="13.8" thickBot="1">
      <c r="B35" s="594"/>
      <c r="C35" s="594"/>
      <c r="D35" s="594"/>
      <c r="E35" s="594"/>
      <c r="F35" s="594"/>
      <c r="G35" s="594"/>
      <c r="H35" s="594"/>
      <c r="I35" s="594"/>
      <c r="J35" s="594"/>
      <c r="K35" s="61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H35" s="18"/>
      <c r="AI35" s="18"/>
      <c r="AJ35" s="18"/>
      <c r="AK35" s="18"/>
      <c r="AL35" s="18"/>
      <c r="AM35" s="18"/>
      <c r="AN35" s="18"/>
      <c r="AO35" s="18"/>
    </row>
    <row r="36" spans="1:49">
      <c r="B36" s="368" t="s">
        <v>17</v>
      </c>
      <c r="C36" s="369"/>
      <c r="D36" s="369"/>
      <c r="E36" s="307" t="s">
        <v>18</v>
      </c>
      <c r="F36" s="369"/>
      <c r="G36" s="369"/>
      <c r="H36" s="307" t="s">
        <v>19</v>
      </c>
      <c r="I36" s="369"/>
      <c r="J36" s="376"/>
      <c r="K36" s="6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4"/>
      <c r="X36" s="4"/>
      <c r="Y36" s="4"/>
      <c r="Z36" s="4"/>
      <c r="AA36" s="4"/>
      <c r="AB36" s="4"/>
      <c r="AC36" s="4"/>
      <c r="AD36" s="4"/>
      <c r="AE36" s="4"/>
      <c r="AH36" s="18"/>
      <c r="AI36" s="18"/>
      <c r="AJ36" s="18"/>
      <c r="AK36" s="18"/>
      <c r="AL36" s="18"/>
      <c r="AM36" s="18"/>
      <c r="AN36" s="18"/>
      <c r="AO36" s="18"/>
    </row>
    <row r="37" spans="1:49" ht="14.4">
      <c r="A37" s="26"/>
      <c r="B37" s="618" t="s">
        <v>47</v>
      </c>
      <c r="C37" s="404"/>
      <c r="D37" s="404"/>
      <c r="E37" s="612" t="s">
        <v>265</v>
      </c>
      <c r="F37" s="612"/>
      <c r="G37" s="612"/>
      <c r="H37" s="612" t="s">
        <v>266</v>
      </c>
      <c r="I37" s="612"/>
      <c r="J37" s="613"/>
      <c r="K37" s="61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H37" s="18"/>
      <c r="AI37" s="18"/>
      <c r="AJ37" s="18"/>
      <c r="AK37" s="18"/>
      <c r="AL37" s="18"/>
      <c r="AM37" s="18"/>
      <c r="AN37" s="18"/>
      <c r="AO37" s="18"/>
    </row>
    <row r="38" spans="1:49" ht="15.6">
      <c r="A38" s="18"/>
      <c r="B38" s="623" t="s">
        <v>37</v>
      </c>
      <c r="C38" s="378"/>
      <c r="D38" s="378"/>
      <c r="E38" s="609" t="s">
        <v>267</v>
      </c>
      <c r="F38" s="610"/>
      <c r="G38" s="610"/>
      <c r="H38" s="609" t="s">
        <v>268</v>
      </c>
      <c r="I38" s="610"/>
      <c r="J38" s="611"/>
      <c r="K38" s="61"/>
      <c r="N38" s="63"/>
      <c r="O38" s="10"/>
      <c r="P38" s="10"/>
      <c r="Q38" s="10"/>
      <c r="R38" s="10"/>
      <c r="S38" s="10"/>
      <c r="T38" s="10"/>
      <c r="U38" s="10"/>
      <c r="V38" s="10"/>
      <c r="W38" s="63"/>
      <c r="X38" s="10"/>
      <c r="Y38" s="10"/>
      <c r="Z38" s="10"/>
      <c r="AA38" s="10"/>
      <c r="AB38" s="10"/>
      <c r="AC38" s="10"/>
      <c r="AD38" s="10"/>
      <c r="AE38" s="10"/>
      <c r="AH38" s="45"/>
      <c r="AI38" s="39"/>
      <c r="AJ38" s="39"/>
      <c r="AK38" s="39"/>
      <c r="AL38" s="39"/>
      <c r="AM38" s="39"/>
      <c r="AN38" s="69"/>
    </row>
    <row r="39" spans="1:49">
      <c r="A39" s="18"/>
      <c r="B39" s="379"/>
      <c r="C39" s="378"/>
      <c r="D39" s="378"/>
      <c r="E39" s="632">
        <f>+D30</f>
        <v>4.3835176413931141</v>
      </c>
      <c r="F39" s="633"/>
      <c r="G39" s="634"/>
      <c r="H39" s="635">
        <f>+J30</f>
        <v>5.2597408444266796</v>
      </c>
      <c r="I39" s="636"/>
      <c r="J39" s="636"/>
      <c r="K39" s="61"/>
      <c r="N39" s="63"/>
      <c r="O39" s="10"/>
      <c r="P39" s="10"/>
      <c r="Q39" s="10"/>
      <c r="R39" s="10"/>
      <c r="S39" s="10"/>
      <c r="T39" s="10"/>
      <c r="U39" s="10"/>
      <c r="V39" s="10"/>
      <c r="W39" s="63"/>
      <c r="X39" s="10"/>
      <c r="Y39" s="10"/>
      <c r="Z39" s="10"/>
      <c r="AA39" s="10"/>
      <c r="AB39" s="10"/>
      <c r="AC39" s="10"/>
      <c r="AD39" s="10"/>
      <c r="AE39" s="10"/>
      <c r="AH39" s="45"/>
      <c r="AI39" s="39"/>
      <c r="AJ39" s="39"/>
      <c r="AK39" s="39"/>
      <c r="AL39" s="39"/>
      <c r="AM39" s="39"/>
      <c r="AN39" s="69"/>
    </row>
    <row r="40" spans="1:49" ht="15.6">
      <c r="A40" s="73"/>
      <c r="B40" s="623" t="s">
        <v>269</v>
      </c>
      <c r="C40" s="378"/>
      <c r="D40" s="378"/>
      <c r="E40" s="609" t="s">
        <v>271</v>
      </c>
      <c r="F40" s="610"/>
      <c r="G40" s="610"/>
      <c r="H40" s="609" t="s">
        <v>273</v>
      </c>
      <c r="I40" s="610"/>
      <c r="J40" s="611"/>
      <c r="K40" s="61"/>
      <c r="N40" s="63"/>
      <c r="O40" s="10"/>
      <c r="P40" s="10"/>
      <c r="Q40" s="10"/>
      <c r="R40" s="10"/>
      <c r="S40" s="10"/>
      <c r="T40" s="10"/>
      <c r="U40" s="10"/>
      <c r="V40" s="10"/>
      <c r="W40" s="63"/>
      <c r="X40" s="10"/>
      <c r="Y40" s="10"/>
      <c r="Z40" s="10"/>
      <c r="AA40" s="10"/>
      <c r="AB40" s="10"/>
      <c r="AC40" s="10"/>
      <c r="AD40" s="10"/>
      <c r="AE40" s="10"/>
      <c r="AH40" s="45"/>
      <c r="AI40" s="39"/>
      <c r="AJ40" s="39"/>
      <c r="AK40" s="39"/>
      <c r="AL40" s="39"/>
      <c r="AM40" s="39"/>
      <c r="AN40" s="69"/>
    </row>
    <row r="41" spans="1:49">
      <c r="A41" s="35"/>
      <c r="B41" s="379"/>
      <c r="C41" s="378"/>
      <c r="D41" s="378"/>
      <c r="E41" s="628">
        <f>+E30</f>
        <v>1.2325509438893738</v>
      </c>
      <c r="F41" s="629"/>
      <c r="G41" s="630"/>
      <c r="H41" s="556">
        <f>+J30*E30/D30</f>
        <v>1.47892607553218</v>
      </c>
      <c r="I41" s="631"/>
      <c r="J41" s="631"/>
      <c r="K41" s="6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H41" s="39"/>
      <c r="AI41" s="39"/>
      <c r="AJ41" s="39"/>
      <c r="AK41" s="39"/>
      <c r="AL41" s="39"/>
      <c r="AM41" s="39"/>
      <c r="AN41" s="69"/>
      <c r="AO41" s="47"/>
      <c r="AP41" s="47"/>
      <c r="AQ41" s="47"/>
      <c r="AR41" s="47"/>
      <c r="AS41" s="47"/>
      <c r="AT41" s="47"/>
      <c r="AU41" s="47"/>
      <c r="AV41" s="47"/>
      <c r="AW41" s="47"/>
    </row>
    <row r="42" spans="1:49" ht="15.6">
      <c r="A42" s="39"/>
      <c r="B42" s="624" t="s">
        <v>270</v>
      </c>
      <c r="C42" s="625"/>
      <c r="D42" s="625"/>
      <c r="E42" s="609" t="s">
        <v>272</v>
      </c>
      <c r="F42" s="610"/>
      <c r="G42" s="610"/>
      <c r="H42" s="609" t="s">
        <v>274</v>
      </c>
      <c r="I42" s="610"/>
      <c r="J42" s="611"/>
      <c r="K42" s="6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H42" s="37"/>
      <c r="AK42" s="4"/>
      <c r="AO42" s="1"/>
      <c r="AT42" s="1"/>
      <c r="AU42" s="1"/>
      <c r="AV42" s="1"/>
      <c r="AW42" s="1"/>
    </row>
    <row r="43" spans="1:49" ht="13.8" thickBot="1">
      <c r="A43" s="37"/>
      <c r="B43" s="626"/>
      <c r="C43" s="627"/>
      <c r="D43" s="627"/>
      <c r="E43" s="619">
        <f>+F30</f>
        <v>3.1509666975037405</v>
      </c>
      <c r="F43" s="620"/>
      <c r="G43" s="621"/>
      <c r="H43" s="558">
        <f>+J30*F30/D30</f>
        <v>3.7808147688945</v>
      </c>
      <c r="I43" s="622"/>
      <c r="J43" s="622"/>
      <c r="K43" s="61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H43" s="48"/>
      <c r="AI43" s="46"/>
      <c r="AJ43" s="1"/>
      <c r="AK43" s="8"/>
      <c r="AL43" s="4"/>
      <c r="AM43" s="47"/>
      <c r="AO43" s="4"/>
      <c r="AT43" s="4"/>
      <c r="AU43" s="4"/>
      <c r="AV43" s="4"/>
    </row>
    <row r="44" spans="1:49">
      <c r="A44" s="22"/>
      <c r="C44" s="22"/>
      <c r="D44" s="22"/>
      <c r="E44" s="22"/>
      <c r="F44" s="41"/>
      <c r="G44" s="22"/>
      <c r="H44" s="22"/>
      <c r="I44" s="41"/>
      <c r="K44" s="61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H44" s="29"/>
      <c r="AI44" s="1"/>
      <c r="AK44" s="49"/>
      <c r="AL44" s="1"/>
      <c r="AM44" s="49"/>
      <c r="AN44" s="49"/>
      <c r="AT44" s="4"/>
      <c r="AU44" s="4"/>
      <c r="AV44" s="4"/>
    </row>
    <row r="45" spans="1:49">
      <c r="A45" s="45"/>
      <c r="B45" s="45"/>
      <c r="C45" s="45"/>
      <c r="D45" s="45"/>
      <c r="F45" s="45"/>
      <c r="G45" s="45"/>
      <c r="H45" s="45"/>
      <c r="I45" s="45"/>
      <c r="K45" s="61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H45" s="29"/>
      <c r="AI45" s="1"/>
      <c r="AK45" s="49"/>
      <c r="AL45" s="1"/>
      <c r="AM45" s="49"/>
      <c r="AN45" s="49"/>
      <c r="AT45" s="4"/>
      <c r="AU45" s="4"/>
      <c r="AV45" s="8"/>
    </row>
    <row r="46" spans="1:49">
      <c r="A46" s="45"/>
      <c r="B46" s="45"/>
      <c r="C46" s="1"/>
      <c r="F46" s="1"/>
      <c r="G46" s="1"/>
      <c r="H46" s="1"/>
      <c r="I46" s="1"/>
      <c r="AH46" s="29"/>
      <c r="AI46" s="1"/>
      <c r="AK46" s="36"/>
      <c r="AL46" s="1"/>
      <c r="AM46" s="49"/>
      <c r="AN46" s="49"/>
      <c r="AT46" s="1"/>
      <c r="AU46" s="9"/>
      <c r="AV46" s="6"/>
    </row>
    <row r="47" spans="1:49">
      <c r="A47" s="1"/>
      <c r="B47" s="1"/>
      <c r="C47" s="1"/>
      <c r="F47" s="1"/>
      <c r="G47" s="1"/>
      <c r="H47" s="1"/>
      <c r="I47" s="1"/>
    </row>
    <row r="48" spans="1:49">
      <c r="A48" s="1"/>
      <c r="B48" s="1"/>
      <c r="C48" s="54"/>
      <c r="D48" s="76"/>
      <c r="E48" s="55"/>
      <c r="F48" s="54"/>
      <c r="G48" s="76"/>
      <c r="H48" s="55"/>
      <c r="I48" s="54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C50" s="36"/>
      <c r="D50" s="36"/>
      <c r="E50" s="36"/>
      <c r="F50" s="36"/>
      <c r="G50" s="36"/>
      <c r="H50" s="36"/>
      <c r="I50" s="36"/>
    </row>
    <row r="51" spans="1:9">
      <c r="A51" s="30"/>
      <c r="B51" s="30"/>
      <c r="C51" s="30"/>
      <c r="D51" s="53"/>
      <c r="E51" s="30"/>
      <c r="F51" s="30"/>
      <c r="G51" s="41"/>
      <c r="I51" s="30"/>
    </row>
    <row r="52" spans="1:9">
      <c r="A52" s="59"/>
      <c r="C52" s="36"/>
      <c r="D52" s="36"/>
      <c r="E52" s="36"/>
      <c r="F52" s="36"/>
      <c r="G52" s="36"/>
      <c r="H52" s="36"/>
      <c r="I52" s="36"/>
    </row>
    <row r="53" spans="1:9">
      <c r="A53" s="59"/>
      <c r="C53" s="36"/>
      <c r="D53" s="36"/>
      <c r="E53" s="36"/>
      <c r="F53" s="36"/>
      <c r="G53" s="36"/>
      <c r="H53" s="36"/>
      <c r="I53" s="36"/>
    </row>
    <row r="54" spans="1:9">
      <c r="A54" s="48"/>
      <c r="C54" s="36"/>
      <c r="D54" s="36"/>
      <c r="E54" s="36"/>
      <c r="F54" s="36"/>
      <c r="G54" s="36"/>
      <c r="H54" s="36"/>
      <c r="I54" s="36"/>
    </row>
    <row r="55" spans="1:9">
      <c r="A55" s="59"/>
      <c r="C55" s="36"/>
      <c r="D55" s="36"/>
      <c r="E55" s="36"/>
      <c r="F55" s="36"/>
      <c r="G55" s="36"/>
      <c r="H55" s="36"/>
      <c r="I55" s="36"/>
    </row>
    <row r="56" spans="1:9">
      <c r="A56" s="59"/>
      <c r="C56" s="36"/>
      <c r="D56" s="36"/>
      <c r="E56" s="36"/>
      <c r="F56" s="36"/>
      <c r="G56" s="36"/>
      <c r="H56" s="36"/>
      <c r="I56" s="36"/>
    </row>
    <row r="57" spans="1:9">
      <c r="A57" s="59"/>
      <c r="C57" s="36"/>
      <c r="D57" s="36"/>
      <c r="E57" s="36"/>
      <c r="F57" s="36"/>
      <c r="G57" s="36"/>
      <c r="H57" s="36"/>
      <c r="I57" s="36"/>
    </row>
    <row r="58" spans="1:9">
      <c r="A58" s="73"/>
      <c r="B58" s="46"/>
      <c r="C58" s="46"/>
      <c r="D58" s="46"/>
      <c r="E58" s="46"/>
      <c r="F58" s="46"/>
      <c r="G58" s="46"/>
      <c r="H58" s="46"/>
      <c r="I58" s="46"/>
    </row>
    <row r="59" spans="1:9">
      <c r="C59" s="36"/>
      <c r="D59" s="36"/>
      <c r="E59" s="36"/>
      <c r="F59" s="36"/>
      <c r="G59" s="1"/>
      <c r="H59" s="36"/>
      <c r="I59" s="36"/>
    </row>
    <row r="60" spans="1:9">
      <c r="A60" s="4"/>
      <c r="B60" s="1"/>
      <c r="C60" s="1"/>
      <c r="D60" s="1"/>
      <c r="E60" s="1"/>
      <c r="F60" s="1"/>
      <c r="G60" s="1"/>
    </row>
    <row r="62" spans="1:9">
      <c r="A62" s="37"/>
      <c r="B62" s="37"/>
      <c r="C62" s="37"/>
      <c r="D62" s="37"/>
      <c r="E62" s="37"/>
      <c r="F62" s="37"/>
      <c r="G62" s="37"/>
      <c r="H62" s="37"/>
      <c r="I62" s="37"/>
    </row>
    <row r="63" spans="1:9">
      <c r="A63" s="22"/>
      <c r="B63" s="22"/>
      <c r="C63" s="22"/>
      <c r="E63" s="41"/>
      <c r="F63" s="1"/>
      <c r="G63" s="1"/>
      <c r="H63" s="1"/>
      <c r="I63" s="41"/>
    </row>
    <row r="64" spans="1:9">
      <c r="A64" s="45"/>
      <c r="B64" s="45"/>
      <c r="C64" s="45"/>
      <c r="D64" s="45"/>
      <c r="E64" s="4"/>
      <c r="F64" s="4"/>
      <c r="G64" s="4"/>
      <c r="H64" s="4"/>
      <c r="I64" s="4"/>
    </row>
    <row r="65" spans="1:9">
      <c r="A65" s="69"/>
      <c r="B65" s="69"/>
      <c r="C65" s="69"/>
      <c r="D65" s="69"/>
      <c r="E65" s="41"/>
      <c r="I65" s="41"/>
    </row>
    <row r="66" spans="1:9">
      <c r="A66" s="46"/>
      <c r="B66" s="46"/>
      <c r="C66" s="46"/>
      <c r="E66" s="36"/>
      <c r="F66" s="1"/>
      <c r="G66" s="1"/>
      <c r="H66" s="1"/>
      <c r="I66" s="10"/>
    </row>
    <row r="67" spans="1:9">
      <c r="A67" s="46"/>
      <c r="B67" s="46"/>
      <c r="C67" s="46"/>
      <c r="E67" s="36"/>
      <c r="F67" s="1"/>
      <c r="G67" s="1"/>
      <c r="H67" s="1"/>
      <c r="I67" s="10"/>
    </row>
    <row r="68" spans="1:9">
      <c r="A68" s="48"/>
      <c r="B68" s="46"/>
      <c r="C68" s="46"/>
      <c r="E68" s="36"/>
      <c r="F68" s="1"/>
      <c r="G68" s="1"/>
      <c r="H68" s="1"/>
      <c r="I68" s="10"/>
    </row>
    <row r="69" spans="1:9">
      <c r="A69" s="46"/>
      <c r="B69" s="46"/>
      <c r="C69" s="46"/>
      <c r="E69" s="36"/>
      <c r="F69" s="1"/>
      <c r="G69" s="1"/>
      <c r="H69" s="1"/>
      <c r="I69" s="10"/>
    </row>
    <row r="70" spans="1:9">
      <c r="A70" s="73"/>
      <c r="B70" s="46"/>
      <c r="C70" s="46"/>
      <c r="D70" s="46"/>
      <c r="E70" s="46"/>
      <c r="F70" s="46"/>
      <c r="G70" s="46"/>
      <c r="H70" s="46"/>
      <c r="I70" s="46"/>
    </row>
    <row r="75" spans="1:9">
      <c r="A75" s="22"/>
      <c r="B75" s="22"/>
      <c r="C75" s="22"/>
      <c r="D75" s="22"/>
      <c r="E75" s="22"/>
      <c r="F75" s="22"/>
      <c r="G75" s="22"/>
      <c r="H75" s="22"/>
      <c r="I75" s="22"/>
    </row>
    <row r="76" spans="1:9">
      <c r="A76" s="44"/>
      <c r="B76" s="44"/>
      <c r="C76" s="44"/>
      <c r="D76" s="45"/>
      <c r="E76" s="45"/>
      <c r="F76" s="45"/>
      <c r="G76" s="45"/>
      <c r="I76" s="45"/>
    </row>
    <row r="77" spans="1:9">
      <c r="A77" s="44"/>
      <c r="B77" s="44"/>
      <c r="C77" s="44"/>
      <c r="D77" s="22"/>
      <c r="G77" s="22"/>
      <c r="H77" s="22"/>
      <c r="I77" s="22"/>
    </row>
    <row r="78" spans="1:9">
      <c r="A78" s="46"/>
      <c r="B78" s="46"/>
      <c r="C78" s="46"/>
      <c r="D78" s="36"/>
      <c r="E78" s="1"/>
      <c r="F78" s="1"/>
      <c r="G78" s="36"/>
      <c r="H78" s="1"/>
      <c r="I78" s="1"/>
    </row>
    <row r="79" spans="1:9">
      <c r="A79" s="46"/>
      <c r="B79" s="46"/>
      <c r="C79" s="46"/>
      <c r="D79" s="36"/>
      <c r="E79" s="1"/>
      <c r="F79" s="1"/>
      <c r="G79" s="36"/>
      <c r="H79" s="1"/>
      <c r="I79" s="1"/>
    </row>
    <row r="80" spans="1:9">
      <c r="A80" s="46"/>
      <c r="B80" s="46"/>
      <c r="C80" s="46"/>
      <c r="D80" s="36"/>
      <c r="E80" s="1"/>
      <c r="F80" s="1"/>
      <c r="G80" s="36"/>
      <c r="H80" s="1"/>
      <c r="I80" s="1"/>
    </row>
  </sheetData>
  <sheetProtection sheet="1" objects="1" scenarios="1"/>
  <mergeCells count="40">
    <mergeCell ref="E43:G43"/>
    <mergeCell ref="H43:J43"/>
    <mergeCell ref="B21:J21"/>
    <mergeCell ref="H6:H11"/>
    <mergeCell ref="B38:D39"/>
    <mergeCell ref="B40:D41"/>
    <mergeCell ref="B42:D43"/>
    <mergeCell ref="E41:G41"/>
    <mergeCell ref="H41:J41"/>
    <mergeCell ref="E40:G40"/>
    <mergeCell ref="H40:J40"/>
    <mergeCell ref="E38:G38"/>
    <mergeCell ref="H38:J38"/>
    <mergeCell ref="E39:G39"/>
    <mergeCell ref="H39:J39"/>
    <mergeCell ref="E42:G42"/>
    <mergeCell ref="H42:J42"/>
    <mergeCell ref="H37:J37"/>
    <mergeCell ref="B30:C30"/>
    <mergeCell ref="D6:F8"/>
    <mergeCell ref="D9:D11"/>
    <mergeCell ref="B37:D37"/>
    <mergeCell ref="B36:D36"/>
    <mergeCell ref="E36:G36"/>
    <mergeCell ref="H36:J36"/>
    <mergeCell ref="E37:G37"/>
    <mergeCell ref="I6:I8"/>
    <mergeCell ref="E9:E11"/>
    <mergeCell ref="F9:F11"/>
    <mergeCell ref="B34:J35"/>
    <mergeCell ref="B3:J4"/>
    <mergeCell ref="B5:C5"/>
    <mergeCell ref="B12:J12"/>
    <mergeCell ref="I9:I11"/>
    <mergeCell ref="B6:C6"/>
    <mergeCell ref="G6:G8"/>
    <mergeCell ref="B7:C11"/>
    <mergeCell ref="G9:G11"/>
    <mergeCell ref="J6:J9"/>
    <mergeCell ref="J10:J11"/>
  </mergeCells>
  <conditionalFormatting sqref="D15:D20 D23:D29">
    <cfRule type="expression" dxfId="21" priority="33">
      <formula>LEN($C15)&gt;0</formula>
    </cfRule>
  </conditionalFormatting>
  <conditionalFormatting sqref="D13:F14">
    <cfRule type="expression" dxfId="20" priority="12">
      <formula>LEN($C13)&gt;0</formula>
    </cfRule>
  </conditionalFormatting>
  <conditionalFormatting sqref="D22:F22">
    <cfRule type="expression" dxfId="19" priority="6">
      <formula>LEN($C22)&gt;0</formula>
    </cfRule>
  </conditionalFormatting>
  <conditionalFormatting sqref="D30:F30">
    <cfRule type="expression" priority="1">
      <formula>COUNTBLANK($G$13:$G$20)+COUNTBLANK($G$22:$G$29)&lt;16</formula>
    </cfRule>
    <cfRule type="expression" dxfId="18" priority="2">
      <formula>COUNTBLANK($G$13:$G$20)+COUNTBLANK($G$22:$G$29)=16</formula>
    </cfRule>
  </conditionalFormatting>
  <conditionalFormatting sqref="D13:G14">
    <cfRule type="expression" dxfId="17" priority="9">
      <formula>LEN($C13)=0</formula>
    </cfRule>
  </conditionalFormatting>
  <conditionalFormatting sqref="D15:G20 D23:G29">
    <cfRule type="expression" dxfId="16" priority="32">
      <formula>LEN($C15)=0</formula>
    </cfRule>
  </conditionalFormatting>
  <conditionalFormatting sqref="D22:G22">
    <cfRule type="expression" dxfId="15" priority="3">
      <formula>LEN($C22)=0</formula>
    </cfRule>
  </conditionalFormatting>
  <conditionalFormatting sqref="E15:G20 E23:G29">
    <cfRule type="expression" dxfId="14" priority="31">
      <formula>LEN($C15)&gt;0</formula>
    </cfRule>
  </conditionalFormatting>
  <conditionalFormatting sqref="G13:G14">
    <cfRule type="expression" dxfId="13" priority="10">
      <formula>LEN($C13)&gt;0</formula>
    </cfRule>
  </conditionalFormatting>
  <conditionalFormatting sqref="G22">
    <cfRule type="expression" dxfId="12" priority="4">
      <formula>LEN($C22)&gt;0</formula>
    </cfRule>
  </conditionalFormatting>
  <conditionalFormatting sqref="H15:H20 H23:H29">
    <cfRule type="expression" dxfId="11" priority="27">
      <formula>AND(LEN($C15)&gt;0,COUNTBLANK(G$13:G$20)+COUNTBLANK(G$22:G$29)&lt;16)</formula>
    </cfRule>
    <cfRule type="expression" dxfId="10" priority="28">
      <formula>OR(LEN($C15)=0,COUNTBLANK(G$13:G$20)+COUNTBLANK(G$22:G$29)=16)</formula>
    </cfRule>
  </conditionalFormatting>
  <conditionalFormatting sqref="H13:I14">
    <cfRule type="expression" dxfId="9" priority="13">
      <formula>AND(LEN($C13)&gt;0,COUNTBLANK($G$13:$G$20)+COUNTBLANK($G$22:$G$29)&lt;16)</formula>
    </cfRule>
    <cfRule type="expression" dxfId="8" priority="14">
      <formula>OR(LEN($C13)=0,COUNTBLANK($G$13:$G$20)+COUNTBLANK($G$22:$G$29)=16)</formula>
    </cfRule>
  </conditionalFormatting>
  <conditionalFormatting sqref="H22:I22">
    <cfRule type="expression" dxfId="7" priority="7">
      <formula>AND(LEN($C22)&gt;0,COUNTBLANK($G$13:$G$20)+COUNTBLANK($G$22:$G$29)&lt;16)</formula>
    </cfRule>
    <cfRule type="expression" dxfId="6" priority="8">
      <formula>OR(LEN($C22)=0,COUNTBLANK($G$13:$G$20)+COUNTBLANK($G$22:$G$29)=16)</formula>
    </cfRule>
  </conditionalFormatting>
  <conditionalFormatting sqref="H30:I30">
    <cfRule type="expression" dxfId="5" priority="15">
      <formula>COUNTBLANK($G$13:$G$20)+COUNTBLANK($G$22:$G$29)=16</formula>
    </cfRule>
    <cfRule type="expression" dxfId="4" priority="16">
      <formula>COUNTBLANK($G$13:$G$20)+COUNTBLANK($G$22:$G$29)&lt;16</formula>
    </cfRule>
  </conditionalFormatting>
  <conditionalFormatting sqref="I15:I20 I23:I29">
    <cfRule type="expression" dxfId="3" priority="21">
      <formula>AND(LEN($C15)&gt;0,COUNTBLANK(G$13:G$20)+COUNTBLANK(G$22:G$29)&lt;16)</formula>
    </cfRule>
    <cfRule type="expression" dxfId="2" priority="22">
      <formula>OR(LEN($C15)=0,COUNTBLANK(G$13:G$20)+COUNTBLANK(G$22:G$29)=16)</formula>
    </cfRule>
  </conditionalFormatting>
  <conditionalFormatting sqref="J13:J20 J22:J30">
    <cfRule type="expression" dxfId="1" priority="19">
      <formula>COUNTBLANK(G$13:G$20)+COUNTBLANK(G$22:G$29)=16</formula>
    </cfRule>
    <cfRule type="expression" dxfId="0" priority="20">
      <formula>COUNTBLANK(G$13:G$20)+COUNTBLANK(G$22:G$29)&lt;16</formula>
    </cfRule>
  </conditionalFormatting>
  <dataValidations count="2">
    <dataValidation type="list" allowBlank="1" showInputMessage="1" showErrorMessage="1" sqref="AJ43 N7 N23" xr:uid="{00000000-0002-0000-0600-000000000000}">
      <formula1>Local</formula1>
    </dataValidation>
    <dataValidation type="whole" allowBlank="1" showInputMessage="1" showErrorMessage="1" sqref="I13:I20 I22:I29" xr:uid="{00000000-0002-0000-0600-000001000000}">
      <formula1>0</formula1>
      <formula2>78300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F78"/>
  <sheetViews>
    <sheetView workbookViewId="0">
      <selection activeCell="C11" sqref="C11"/>
    </sheetView>
  </sheetViews>
  <sheetFormatPr defaultColWidth="9.109375" defaultRowHeight="13.2"/>
  <cols>
    <col min="1" max="1" width="6.6640625" customWidth="1"/>
    <col min="2" max="2" width="13.6640625" customWidth="1"/>
    <col min="3" max="3" width="27.33203125" customWidth="1"/>
    <col min="4" max="7" width="13.6640625" customWidth="1"/>
    <col min="8" max="8" width="15.33203125" customWidth="1"/>
    <col min="9" max="10" width="13.6640625" customWidth="1"/>
    <col min="11" max="15" width="10.6640625" customWidth="1"/>
    <col min="16" max="22" width="13.6640625" customWidth="1"/>
    <col min="23" max="32" width="12.6640625" customWidth="1"/>
    <col min="39" max="39" width="11" customWidth="1"/>
    <col min="40" max="40" width="12.44140625" customWidth="1"/>
    <col min="41" max="41" width="10.44140625" customWidth="1"/>
    <col min="42" max="42" width="10.6640625" customWidth="1"/>
    <col min="43" max="43" width="12.44140625" customWidth="1"/>
    <col min="44" max="44" width="10.44140625" customWidth="1"/>
    <col min="45" max="45" width="11.6640625" customWidth="1"/>
    <col min="46" max="46" width="10.44140625" customWidth="1"/>
    <col min="49" max="49" width="10.109375" customWidth="1"/>
  </cols>
  <sheetData>
    <row r="1" spans="1:58">
      <c r="Q1" s="6"/>
      <c r="T1" s="1"/>
      <c r="Z1" s="7"/>
    </row>
    <row r="2" spans="1:58" ht="13.8" thickBot="1">
      <c r="Q2" s="6"/>
      <c r="T2" s="1"/>
      <c r="Z2" s="7"/>
    </row>
    <row r="3" spans="1:58" ht="13.8" thickTop="1">
      <c r="A3" s="37"/>
      <c r="B3" s="593" t="s">
        <v>226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60"/>
      <c r="Q3" s="45"/>
      <c r="R3" s="45"/>
      <c r="S3" s="45"/>
      <c r="T3" s="45"/>
      <c r="U3" s="45"/>
      <c r="V3" s="45"/>
      <c r="W3" s="45"/>
      <c r="X3" s="45"/>
      <c r="Y3" s="45"/>
      <c r="Z3" s="69"/>
      <c r="AA3" s="69"/>
      <c r="AB3" s="4"/>
      <c r="AC3" s="4"/>
      <c r="AD3" s="4"/>
      <c r="AM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58" ht="13.8" thickBot="1">
      <c r="A4" s="4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1"/>
      <c r="Q4" s="45"/>
      <c r="R4" s="45"/>
      <c r="S4" s="45"/>
      <c r="T4" s="45"/>
      <c r="U4" s="45"/>
      <c r="V4" s="45"/>
      <c r="W4" s="45"/>
      <c r="X4" s="45"/>
      <c r="Y4" s="45"/>
      <c r="Z4" s="69"/>
      <c r="AA4" s="69"/>
      <c r="AB4" s="1"/>
      <c r="AC4" s="1"/>
      <c r="AD4" s="1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>
      <c r="B5" s="368" t="s">
        <v>17</v>
      </c>
      <c r="C5" s="283"/>
      <c r="D5" s="43" t="s">
        <v>18</v>
      </c>
      <c r="E5" s="43" t="s">
        <v>19</v>
      </c>
      <c r="F5" s="43" t="s">
        <v>20</v>
      </c>
      <c r="G5" s="43" t="s">
        <v>21</v>
      </c>
      <c r="H5" s="43" t="s">
        <v>22</v>
      </c>
      <c r="I5" s="43" t="s">
        <v>23</v>
      </c>
      <c r="J5" s="43" t="s">
        <v>24</v>
      </c>
      <c r="K5" s="43" t="s">
        <v>25</v>
      </c>
      <c r="L5" s="43" t="s">
        <v>26</v>
      </c>
      <c r="M5" s="43" t="s">
        <v>27</v>
      </c>
      <c r="N5" s="43" t="s">
        <v>28</v>
      </c>
      <c r="O5" s="91" t="s">
        <v>29</v>
      </c>
      <c r="P5" s="8"/>
      <c r="Q5" s="44"/>
      <c r="R5" s="44"/>
      <c r="S5" s="44"/>
      <c r="T5" s="60"/>
      <c r="U5" s="60"/>
      <c r="V5" s="60"/>
      <c r="W5" s="60"/>
      <c r="X5" s="60"/>
      <c r="Y5" s="60"/>
      <c r="AB5" s="60"/>
      <c r="AC5" s="60"/>
      <c r="AD5" s="60"/>
      <c r="AM5" s="4"/>
      <c r="AN5" s="4"/>
      <c r="AO5" s="4"/>
      <c r="AP5" s="1"/>
      <c r="AQ5" s="4"/>
      <c r="AR5" s="1"/>
      <c r="AS5" s="1"/>
      <c r="AT5" s="1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>
      <c r="B6" s="644" t="s">
        <v>566</v>
      </c>
      <c r="C6" s="645"/>
      <c r="D6" s="466" t="s">
        <v>48</v>
      </c>
      <c r="E6" s="643"/>
      <c r="F6" s="643"/>
      <c r="G6" s="466" t="s">
        <v>260</v>
      </c>
      <c r="H6" s="312" t="s">
        <v>35</v>
      </c>
      <c r="I6" s="312" t="s">
        <v>246</v>
      </c>
      <c r="J6" s="312" t="s">
        <v>247</v>
      </c>
      <c r="K6" s="312" t="s">
        <v>248</v>
      </c>
      <c r="L6" s="312" t="s">
        <v>249</v>
      </c>
      <c r="M6" s="312" t="s">
        <v>252</v>
      </c>
      <c r="N6" s="312" t="s">
        <v>253</v>
      </c>
      <c r="O6" s="230" t="s">
        <v>258</v>
      </c>
      <c r="Q6" s="69"/>
      <c r="R6" s="69"/>
      <c r="S6" s="69"/>
      <c r="T6" s="60"/>
      <c r="U6" s="60"/>
      <c r="V6" s="60"/>
      <c r="X6" s="4"/>
      <c r="AB6" s="4"/>
      <c r="AC6" s="4"/>
      <c r="AD6" s="4"/>
      <c r="AM6" s="4"/>
      <c r="AN6" s="4"/>
      <c r="AO6" s="1"/>
      <c r="AP6" s="1"/>
      <c r="AQ6" s="1"/>
      <c r="AR6" s="1"/>
      <c r="AS6" s="1"/>
      <c r="AT6" s="1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58">
      <c r="B7" s="379"/>
      <c r="C7" s="378"/>
      <c r="D7" s="643"/>
      <c r="E7" s="643"/>
      <c r="F7" s="643"/>
      <c r="G7" s="466"/>
      <c r="H7" s="462"/>
      <c r="I7" s="312"/>
      <c r="J7" s="312"/>
      <c r="K7" s="312"/>
      <c r="L7" s="312"/>
      <c r="M7" s="312"/>
      <c r="N7" s="312"/>
      <c r="O7" s="230"/>
      <c r="Q7" s="29"/>
      <c r="R7" s="1"/>
      <c r="S7" s="1"/>
      <c r="T7" s="42"/>
      <c r="U7" s="42"/>
      <c r="V7" s="42"/>
      <c r="W7" s="42"/>
      <c r="X7" s="42"/>
      <c r="Y7" s="42"/>
      <c r="Z7" s="42"/>
      <c r="AA7" s="42"/>
      <c r="AB7" s="1"/>
      <c r="AC7" s="4"/>
      <c r="AD7" s="1"/>
      <c r="AM7" s="1"/>
      <c r="AN7" s="1"/>
      <c r="AO7" s="1"/>
      <c r="AP7" s="1"/>
      <c r="AQ7" s="87"/>
      <c r="AR7" s="87"/>
      <c r="AS7" s="87"/>
      <c r="AT7" s="87"/>
      <c r="AW7" s="26"/>
      <c r="AX7" s="30"/>
      <c r="AY7" s="30"/>
      <c r="AZ7" s="30"/>
      <c r="BA7" s="30"/>
      <c r="BB7" s="30"/>
      <c r="BC7" s="30"/>
      <c r="BD7" s="30"/>
      <c r="BE7" s="30"/>
      <c r="BF7" s="30"/>
    </row>
    <row r="8" spans="1:58">
      <c r="B8" s="379"/>
      <c r="C8" s="378"/>
      <c r="D8" s="637" t="s">
        <v>230</v>
      </c>
      <c r="E8" s="637" t="s">
        <v>339</v>
      </c>
      <c r="F8" s="637" t="s">
        <v>231</v>
      </c>
      <c r="G8" s="466"/>
      <c r="H8" s="462"/>
      <c r="I8" s="637" t="s">
        <v>250</v>
      </c>
      <c r="J8" s="637" t="s">
        <v>251</v>
      </c>
      <c r="K8" s="461" t="s">
        <v>254</v>
      </c>
      <c r="L8" s="461" t="s">
        <v>255</v>
      </c>
      <c r="M8" s="461" t="s">
        <v>256</v>
      </c>
      <c r="N8" s="461" t="s">
        <v>257</v>
      </c>
      <c r="O8" s="641" t="s">
        <v>259</v>
      </c>
      <c r="P8" s="48"/>
      <c r="T8" s="39"/>
      <c r="U8" s="39"/>
      <c r="V8" s="39"/>
      <c r="W8" s="39"/>
      <c r="X8" s="39"/>
      <c r="Y8" s="39"/>
      <c r="Z8" s="39"/>
      <c r="AA8" s="39"/>
      <c r="AB8" s="1"/>
      <c r="AC8" s="1"/>
      <c r="AD8" s="1"/>
      <c r="AM8" s="1"/>
      <c r="AN8" s="1"/>
      <c r="AO8" s="1"/>
      <c r="AP8" s="1"/>
      <c r="AQ8" s="88"/>
      <c r="AR8" s="88"/>
      <c r="AS8" s="88"/>
      <c r="AT8" s="88"/>
      <c r="AW8" s="26"/>
      <c r="AX8" s="30"/>
      <c r="AY8" s="30"/>
      <c r="AZ8" s="30"/>
      <c r="BA8" s="30"/>
      <c r="BB8" s="30"/>
      <c r="BC8" s="30"/>
      <c r="BD8" s="30"/>
      <c r="BE8" s="30"/>
      <c r="BF8" s="30"/>
    </row>
    <row r="9" spans="1:58" ht="13.8" thickBot="1">
      <c r="A9" s="4"/>
      <c r="B9" s="646"/>
      <c r="C9" s="647"/>
      <c r="D9" s="638"/>
      <c r="E9" s="638"/>
      <c r="F9" s="638"/>
      <c r="G9" s="648"/>
      <c r="H9" s="639"/>
      <c r="I9" s="640"/>
      <c r="J9" s="640"/>
      <c r="K9" s="639"/>
      <c r="L9" s="639"/>
      <c r="M9" s="639"/>
      <c r="N9" s="639"/>
      <c r="O9" s="642"/>
      <c r="P9" s="8"/>
      <c r="Q9" s="70"/>
      <c r="R9" s="71"/>
      <c r="S9" s="71"/>
      <c r="T9" s="72"/>
      <c r="U9" s="72"/>
      <c r="V9" s="72"/>
      <c r="W9" s="36"/>
      <c r="X9" s="36"/>
      <c r="Y9" s="36"/>
      <c r="Z9" s="36"/>
      <c r="AA9" s="36"/>
      <c r="AM9" s="29"/>
      <c r="AN9" s="1"/>
      <c r="AO9" s="53"/>
      <c r="AP9" s="1"/>
      <c r="AQ9" s="85"/>
      <c r="AR9" s="85"/>
      <c r="AS9" s="89"/>
      <c r="AT9" s="89"/>
      <c r="AW9" s="26"/>
      <c r="AX9" s="30"/>
      <c r="AY9" s="30"/>
      <c r="AZ9" s="30"/>
      <c r="BA9" s="30"/>
      <c r="BB9" s="30"/>
      <c r="BC9" s="30"/>
      <c r="BD9" s="30"/>
      <c r="BE9" s="30"/>
      <c r="BF9" s="30"/>
    </row>
    <row r="10" spans="1:58">
      <c r="A10" s="26"/>
      <c r="B10" s="410" t="s">
        <v>232</v>
      </c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7"/>
      <c r="Q10" s="70"/>
      <c r="R10" s="71"/>
      <c r="S10" s="71"/>
      <c r="T10" s="36"/>
      <c r="U10" s="36"/>
      <c r="V10" s="36"/>
      <c r="W10" s="36"/>
      <c r="X10" s="36"/>
      <c r="Y10" s="36"/>
      <c r="Z10" s="36"/>
      <c r="AA10" s="36"/>
      <c r="AB10" s="10"/>
      <c r="AC10" s="10"/>
      <c r="AD10" s="10"/>
      <c r="AM10" s="1"/>
      <c r="AN10" s="1"/>
      <c r="AO10" s="1"/>
      <c r="AP10" s="1"/>
      <c r="AQ10" s="85"/>
      <c r="AR10" s="85"/>
      <c r="AS10" s="85"/>
      <c r="AT10" s="85"/>
      <c r="AW10" s="26"/>
      <c r="AX10" s="30"/>
      <c r="AY10" s="30"/>
      <c r="AZ10" s="30"/>
      <c r="BA10" s="30"/>
      <c r="BB10" s="30"/>
      <c r="BC10" s="30"/>
      <c r="BD10" s="30"/>
      <c r="BE10" s="30"/>
      <c r="BF10" s="30"/>
    </row>
    <row r="11" spans="1:58">
      <c r="A11" s="26"/>
      <c r="B11" s="27" t="s">
        <v>563</v>
      </c>
      <c r="C11" s="216" t="s">
        <v>561</v>
      </c>
      <c r="D11" s="3">
        <f>+'Rural Divided Multilane Seg'!D68</f>
        <v>3.7278306393355742</v>
      </c>
      <c r="E11" s="3">
        <f>+'Rural Divided Multilane Seg'!D69</f>
        <v>1.1183491918006723</v>
      </c>
      <c r="F11" s="3">
        <f>+'Rural Divided Multilane Seg'!D71</f>
        <v>2.6094814475349022</v>
      </c>
      <c r="G11" s="93" t="s">
        <v>15</v>
      </c>
      <c r="H11" s="3">
        <f>+'Rural Divided Multilane Seg'!H37:I37</f>
        <v>0.61099999999999999</v>
      </c>
      <c r="I11" s="96">
        <f>+H11*D11*D11</f>
        <v>8.4908966993727049</v>
      </c>
      <c r="J11" s="96">
        <f>SQRT(H11*D11)</f>
        <v>1.5092065864665565</v>
      </c>
      <c r="K11" s="93" t="s">
        <v>15</v>
      </c>
      <c r="L11" s="93" t="s">
        <v>15</v>
      </c>
      <c r="M11" s="93" t="s">
        <v>15</v>
      </c>
      <c r="N11" s="93" t="s">
        <v>15</v>
      </c>
      <c r="O11" s="93" t="s">
        <v>15</v>
      </c>
      <c r="P11" s="7"/>
      <c r="Q11" s="70"/>
      <c r="R11" s="71"/>
      <c r="S11" s="71"/>
      <c r="T11" s="36"/>
      <c r="U11" s="36"/>
      <c r="V11" s="36"/>
      <c r="W11" s="36"/>
      <c r="X11" s="36"/>
      <c r="Y11" s="36"/>
      <c r="Z11" s="36"/>
      <c r="AA11" s="36"/>
      <c r="AB11" s="10"/>
      <c r="AC11" s="10"/>
      <c r="AD11" s="10"/>
      <c r="AM11" s="54"/>
      <c r="AN11" s="38"/>
      <c r="AO11" s="53"/>
      <c r="AP11" s="1"/>
      <c r="AQ11" s="85"/>
      <c r="AR11" s="85"/>
      <c r="AS11" s="89"/>
      <c r="AT11" s="89"/>
      <c r="AW11" s="81"/>
    </row>
    <row r="12" spans="1:58">
      <c r="A12" s="26"/>
      <c r="B12" s="27" t="s">
        <v>564</v>
      </c>
      <c r="C12" s="216" t="s">
        <v>562</v>
      </c>
      <c r="D12" s="3">
        <f>+'Rural Undivided Multilane Seg'!D68</f>
        <v>0.17862348364187067</v>
      </c>
      <c r="E12" s="3">
        <f>+'Rural Undivided Multilane Seg'!D69</f>
        <v>5.3587045092561202E-2</v>
      </c>
      <c r="F12" s="3">
        <f>+'Rural Undivided Multilane Seg'!D71</f>
        <v>0.12503643854930946</v>
      </c>
      <c r="G12" s="93" t="s">
        <v>15</v>
      </c>
      <c r="H12" s="3">
        <f>+'Rural Undivided Multilane Seg'!H37</f>
        <v>0.65900000000000003</v>
      </c>
      <c r="I12" s="96">
        <f>+H12*D12*D12</f>
        <v>2.1026283930607684E-2</v>
      </c>
      <c r="J12" s="96">
        <f>SQRT(H12*D12)</f>
        <v>0.34309310065927118</v>
      </c>
      <c r="K12" s="93" t="s">
        <v>15</v>
      </c>
      <c r="L12" s="93" t="s">
        <v>15</v>
      </c>
      <c r="M12" s="93" t="s">
        <v>15</v>
      </c>
      <c r="N12" s="93" t="s">
        <v>15</v>
      </c>
      <c r="O12" s="93" t="s">
        <v>15</v>
      </c>
      <c r="P12" s="7"/>
      <c r="Q12" s="70"/>
      <c r="R12" s="71"/>
      <c r="S12" s="71"/>
      <c r="T12" s="36"/>
      <c r="U12" s="36"/>
      <c r="V12" s="36"/>
      <c r="W12" s="36"/>
      <c r="X12" s="36"/>
      <c r="Y12" s="36"/>
      <c r="Z12" s="36"/>
      <c r="AA12" s="36"/>
      <c r="AB12" s="10"/>
      <c r="AC12" s="10"/>
      <c r="AD12" s="10"/>
      <c r="AM12" s="38"/>
      <c r="AN12" s="38"/>
      <c r="AO12" s="1"/>
      <c r="AP12" s="1"/>
      <c r="AQ12" s="85"/>
      <c r="AR12" s="85"/>
      <c r="AS12" s="85"/>
      <c r="AT12" s="85"/>
    </row>
    <row r="13" spans="1:58">
      <c r="A13" s="26"/>
      <c r="B13" s="27" t="s">
        <v>234</v>
      </c>
      <c r="C13" s="217"/>
      <c r="D13" s="150">
        <f t="shared" ref="D13:D18" si="0">E13+F13</f>
        <v>0</v>
      </c>
      <c r="E13" s="176"/>
      <c r="F13" s="176"/>
      <c r="G13" s="93" t="s">
        <v>15</v>
      </c>
      <c r="H13" s="176"/>
      <c r="I13" s="3">
        <f t="shared" ref="I13:I18" si="1">+H13*D13*D13</f>
        <v>0</v>
      </c>
      <c r="J13" s="3">
        <f t="shared" ref="J13:J18" si="2">SQRT(H13*D13)</f>
        <v>0</v>
      </c>
      <c r="K13" s="93" t="s">
        <v>15</v>
      </c>
      <c r="L13" s="93" t="s">
        <v>15</v>
      </c>
      <c r="M13" s="93" t="s">
        <v>15</v>
      </c>
      <c r="N13" s="93" t="s">
        <v>15</v>
      </c>
      <c r="O13" s="93" t="s">
        <v>15</v>
      </c>
      <c r="P13" s="7"/>
      <c r="Q13" s="70"/>
      <c r="R13" s="71"/>
      <c r="S13" s="71"/>
      <c r="T13" s="36"/>
      <c r="U13" s="36"/>
      <c r="V13" s="36"/>
      <c r="W13" s="36"/>
      <c r="X13" s="36"/>
      <c r="Y13" s="36"/>
      <c r="Z13" s="36"/>
      <c r="AA13" s="36"/>
      <c r="AB13" s="10"/>
      <c r="AC13" s="10"/>
      <c r="AD13" s="10"/>
      <c r="AM13" s="38"/>
      <c r="AN13" s="38"/>
      <c r="AO13" s="53"/>
      <c r="AP13" s="30"/>
      <c r="AQ13" s="30"/>
      <c r="AR13" s="30"/>
      <c r="AS13" s="30"/>
      <c r="AT13" s="30"/>
    </row>
    <row r="14" spans="1:58">
      <c r="A14" s="26"/>
      <c r="B14" s="27" t="s">
        <v>235</v>
      </c>
      <c r="C14" s="217"/>
      <c r="D14" s="150">
        <f t="shared" si="0"/>
        <v>0</v>
      </c>
      <c r="E14" s="176"/>
      <c r="F14" s="176"/>
      <c r="G14" s="93" t="s">
        <v>15</v>
      </c>
      <c r="H14" s="176"/>
      <c r="I14" s="3">
        <f t="shared" si="1"/>
        <v>0</v>
      </c>
      <c r="J14" s="3">
        <f t="shared" si="2"/>
        <v>0</v>
      </c>
      <c r="K14" s="93" t="s">
        <v>15</v>
      </c>
      <c r="L14" s="93" t="s">
        <v>15</v>
      </c>
      <c r="M14" s="93" t="s">
        <v>15</v>
      </c>
      <c r="N14" s="93" t="s">
        <v>15</v>
      </c>
      <c r="O14" s="93" t="s">
        <v>15</v>
      </c>
      <c r="P14" s="7"/>
      <c r="Q14" s="70"/>
      <c r="R14" s="71"/>
      <c r="S14" s="71"/>
      <c r="T14" s="36"/>
      <c r="U14" s="36"/>
      <c r="V14" s="36"/>
      <c r="W14" s="36"/>
      <c r="X14" s="36"/>
      <c r="Y14" s="36"/>
      <c r="Z14" s="36"/>
      <c r="AA14" s="36"/>
      <c r="AB14" s="10"/>
      <c r="AC14" s="10"/>
      <c r="AD14" s="10"/>
      <c r="AM14" s="79"/>
      <c r="AN14" s="79"/>
      <c r="AO14" s="18"/>
      <c r="AP14" s="18"/>
      <c r="AQ14" s="18"/>
      <c r="AR14" s="18"/>
      <c r="AS14" s="18"/>
      <c r="AT14" s="18"/>
    </row>
    <row r="15" spans="1:58">
      <c r="A15" s="26"/>
      <c r="B15" s="27" t="s">
        <v>236</v>
      </c>
      <c r="C15" s="217"/>
      <c r="D15" s="150">
        <f t="shared" si="0"/>
        <v>0</v>
      </c>
      <c r="E15" s="176"/>
      <c r="F15" s="176"/>
      <c r="G15" s="93" t="s">
        <v>15</v>
      </c>
      <c r="H15" s="176"/>
      <c r="I15" s="86">
        <f t="shared" si="1"/>
        <v>0</v>
      </c>
      <c r="J15" s="3">
        <f t="shared" si="2"/>
        <v>0</v>
      </c>
      <c r="K15" s="93" t="s">
        <v>15</v>
      </c>
      <c r="L15" s="93" t="s">
        <v>15</v>
      </c>
      <c r="M15" s="93" t="s">
        <v>15</v>
      </c>
      <c r="N15" s="93" t="s">
        <v>15</v>
      </c>
      <c r="O15" s="93" t="s">
        <v>15</v>
      </c>
      <c r="P15" s="7"/>
      <c r="Q15" s="26"/>
      <c r="T15" s="36"/>
      <c r="U15" s="36"/>
      <c r="V15" s="36"/>
      <c r="W15" s="36"/>
      <c r="X15" s="36"/>
      <c r="Y15" s="36"/>
      <c r="Z15" s="36"/>
      <c r="AA15" s="36"/>
      <c r="AB15" s="10"/>
      <c r="AC15" s="10"/>
      <c r="AD15" s="10"/>
      <c r="AM15" s="18"/>
      <c r="AN15" s="18"/>
      <c r="AO15" s="18"/>
      <c r="AP15" s="18"/>
      <c r="AQ15" s="18"/>
      <c r="AR15" s="18"/>
      <c r="AS15" s="18"/>
      <c r="AT15" s="18"/>
      <c r="AW15" s="26"/>
      <c r="BA15" s="30"/>
    </row>
    <row r="16" spans="1:58">
      <c r="A16" s="26"/>
      <c r="B16" s="27" t="s">
        <v>237</v>
      </c>
      <c r="C16" s="217"/>
      <c r="D16" s="150">
        <f t="shared" si="0"/>
        <v>0</v>
      </c>
      <c r="E16" s="176"/>
      <c r="F16" s="176"/>
      <c r="G16" s="93" t="s">
        <v>15</v>
      </c>
      <c r="H16" s="176"/>
      <c r="I16" s="3">
        <f t="shared" si="1"/>
        <v>0</v>
      </c>
      <c r="J16" s="3">
        <f t="shared" si="2"/>
        <v>0</v>
      </c>
      <c r="K16" s="93" t="s">
        <v>15</v>
      </c>
      <c r="L16" s="93" t="s">
        <v>15</v>
      </c>
      <c r="M16" s="93" t="s">
        <v>15</v>
      </c>
      <c r="N16" s="93" t="s">
        <v>15</v>
      </c>
      <c r="O16" s="93" t="s">
        <v>15</v>
      </c>
      <c r="P16" s="7"/>
      <c r="Q16" s="73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10"/>
      <c r="AC16" s="10"/>
      <c r="AD16" s="10"/>
      <c r="AM16" s="18"/>
      <c r="AN16" s="79"/>
      <c r="AO16" s="18"/>
      <c r="AP16" s="18"/>
      <c r="AQ16" s="18"/>
      <c r="AR16" s="18"/>
      <c r="AS16" s="18"/>
      <c r="AT16" s="18"/>
    </row>
    <row r="17" spans="1:53">
      <c r="A17" s="26"/>
      <c r="B17" s="27" t="s">
        <v>238</v>
      </c>
      <c r="C17" s="217"/>
      <c r="D17" s="150">
        <f t="shared" si="0"/>
        <v>0</v>
      </c>
      <c r="E17" s="176"/>
      <c r="F17" s="176"/>
      <c r="G17" s="93" t="s">
        <v>15</v>
      </c>
      <c r="H17" s="176"/>
      <c r="I17" s="3">
        <f t="shared" si="1"/>
        <v>0</v>
      </c>
      <c r="J17" s="3">
        <f t="shared" si="2"/>
        <v>0</v>
      </c>
      <c r="K17" s="93" t="s">
        <v>15</v>
      </c>
      <c r="L17" s="93" t="s">
        <v>15</v>
      </c>
      <c r="M17" s="93" t="s">
        <v>15</v>
      </c>
      <c r="N17" s="93" t="s">
        <v>15</v>
      </c>
      <c r="O17" s="93" t="s">
        <v>15</v>
      </c>
      <c r="P17" s="6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0"/>
      <c r="AC17" s="10"/>
      <c r="AD17" s="10"/>
      <c r="AM17" s="18"/>
      <c r="AN17" s="18"/>
      <c r="AO17" s="18"/>
      <c r="AP17" s="18"/>
      <c r="AQ17" s="18"/>
      <c r="AR17" s="18"/>
      <c r="AS17" s="18"/>
      <c r="AT17" s="18"/>
      <c r="AW17" s="26"/>
      <c r="BA17" s="30"/>
    </row>
    <row r="18" spans="1:53" ht="13.8" thickBot="1">
      <c r="B18" s="28" t="s">
        <v>239</v>
      </c>
      <c r="C18" s="218"/>
      <c r="D18" s="151">
        <f t="shared" si="0"/>
        <v>0</v>
      </c>
      <c r="E18" s="177"/>
      <c r="F18" s="177"/>
      <c r="G18" s="93" t="s">
        <v>15</v>
      </c>
      <c r="H18" s="177"/>
      <c r="I18" s="51">
        <f t="shared" si="1"/>
        <v>0</v>
      </c>
      <c r="J18" s="51">
        <f t="shared" si="2"/>
        <v>0</v>
      </c>
      <c r="K18" s="93" t="s">
        <v>15</v>
      </c>
      <c r="L18" s="93" t="s">
        <v>15</v>
      </c>
      <c r="M18" s="93" t="s">
        <v>15</v>
      </c>
      <c r="N18" s="93" t="s">
        <v>15</v>
      </c>
      <c r="O18" s="93" t="s">
        <v>15</v>
      </c>
      <c r="P18" s="61"/>
      <c r="Q18" s="45"/>
      <c r="R18" s="45"/>
      <c r="S18" s="45"/>
      <c r="T18" s="45"/>
      <c r="U18" s="45"/>
      <c r="V18" s="45"/>
      <c r="W18" s="45"/>
      <c r="X18" s="45"/>
      <c r="Y18" s="45"/>
      <c r="Z18" s="69"/>
      <c r="AA18" s="69"/>
      <c r="AB18" s="10"/>
      <c r="AC18" s="10"/>
      <c r="AD18" s="10"/>
    </row>
    <row r="19" spans="1:53">
      <c r="B19" s="410" t="s">
        <v>233</v>
      </c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60"/>
      <c r="Q19" s="45"/>
      <c r="R19" s="45"/>
      <c r="S19" s="45"/>
      <c r="T19" s="45"/>
      <c r="U19" s="45"/>
      <c r="V19" s="45"/>
      <c r="W19" s="45"/>
      <c r="X19" s="45"/>
      <c r="Y19" s="45"/>
      <c r="Z19" s="69"/>
      <c r="AA19" s="69"/>
      <c r="AB19" s="1"/>
      <c r="AC19" s="1"/>
      <c r="AD19" s="1"/>
      <c r="AE19" s="1"/>
      <c r="AF19" s="1"/>
      <c r="AG19" s="1"/>
      <c r="AH19" s="1"/>
      <c r="AI19" s="1"/>
      <c r="AJ19" s="1"/>
      <c r="AM19" s="4"/>
      <c r="AN19" s="4"/>
      <c r="AO19" s="4"/>
      <c r="AP19" s="4"/>
      <c r="AQ19" s="4"/>
      <c r="AR19" s="1"/>
      <c r="AS19" s="1"/>
      <c r="AT19" s="1"/>
    </row>
    <row r="20" spans="1:53">
      <c r="A20" s="41"/>
      <c r="B20" s="27" t="s">
        <v>227</v>
      </c>
      <c r="C20" s="216" t="s">
        <v>565</v>
      </c>
      <c r="D20" s="3">
        <f>+'Rural Multilane Intersection'!G67</f>
        <v>0.47706351841566896</v>
      </c>
      <c r="E20" s="3">
        <f>+'Rural Multilane Intersection'!G68</f>
        <v>6.061470699614023E-2</v>
      </c>
      <c r="F20" s="97">
        <f>+'Rural Multilane Intersection'!G70</f>
        <v>0.41644881141952872</v>
      </c>
      <c r="G20" s="93" t="s">
        <v>15</v>
      </c>
      <c r="H20" s="97">
        <f>+'Rural Multilane Intersection'!H36</f>
        <v>0.51200000000000001</v>
      </c>
      <c r="I20" s="96">
        <f>+H20*D20*D20</f>
        <v>0.1165258755088063</v>
      </c>
      <c r="J20" s="96">
        <f>SQRT(H20*D20)</f>
        <v>0.49422314942627132</v>
      </c>
      <c r="K20" s="93" t="s">
        <v>15</v>
      </c>
      <c r="L20" s="93" t="s">
        <v>15</v>
      </c>
      <c r="M20" s="93" t="s">
        <v>15</v>
      </c>
      <c r="N20" s="93" t="s">
        <v>15</v>
      </c>
      <c r="O20" s="93" t="s">
        <v>15</v>
      </c>
      <c r="P20" s="8"/>
      <c r="Q20" s="69"/>
      <c r="R20" s="69"/>
      <c r="S20" s="69"/>
      <c r="T20" s="4"/>
      <c r="U20" s="1"/>
      <c r="V20" s="4"/>
      <c r="X20" s="4"/>
      <c r="Y20" s="1"/>
      <c r="Z20" s="4"/>
      <c r="AB20" s="60"/>
      <c r="AC20" s="60"/>
      <c r="AD20" s="60"/>
      <c r="AE20" s="60"/>
      <c r="AF20" s="60"/>
      <c r="AG20" s="60"/>
      <c r="AH20" s="60"/>
      <c r="AI20" s="60"/>
      <c r="AJ20" s="60"/>
      <c r="AM20" s="4"/>
      <c r="AN20" s="4"/>
      <c r="AO20" s="4"/>
      <c r="AP20" s="1"/>
      <c r="AQ20" s="4"/>
      <c r="AR20" s="1"/>
      <c r="AS20" s="1"/>
      <c r="AT20" s="1"/>
    </row>
    <row r="21" spans="1:53">
      <c r="A21" s="94"/>
      <c r="B21" s="174" t="s">
        <v>228</v>
      </c>
      <c r="C21" s="217"/>
      <c r="D21" s="150">
        <f t="shared" ref="D21:D27" si="3">E21+F21</f>
        <v>0</v>
      </c>
      <c r="E21" s="176"/>
      <c r="F21" s="178"/>
      <c r="G21" s="93" t="s">
        <v>15</v>
      </c>
      <c r="H21" s="178"/>
      <c r="I21" s="3">
        <f t="shared" ref="I21:I27" si="4">+H21*D21*D21</f>
        <v>0</v>
      </c>
      <c r="J21" s="86">
        <f t="shared" ref="J21:J27" si="5">SQRT(H21*D21)</f>
        <v>0</v>
      </c>
      <c r="K21" s="93" t="s">
        <v>15</v>
      </c>
      <c r="L21" s="93" t="s">
        <v>15</v>
      </c>
      <c r="M21" s="93" t="s">
        <v>15</v>
      </c>
      <c r="N21" s="93" t="s">
        <v>15</v>
      </c>
      <c r="O21" s="93" t="s">
        <v>15</v>
      </c>
      <c r="Q21" s="29"/>
      <c r="R21" s="1"/>
      <c r="S21" s="1"/>
      <c r="T21" s="1"/>
      <c r="U21" s="1"/>
      <c r="X21" s="1"/>
      <c r="Y21" s="1"/>
      <c r="AB21" s="45"/>
      <c r="AC21" s="45"/>
      <c r="AD21" s="45"/>
      <c r="AE21" s="45"/>
      <c r="AF21" s="45"/>
      <c r="AG21" s="45"/>
      <c r="AH21" s="45"/>
      <c r="AI21" s="45"/>
      <c r="AJ21" s="45"/>
      <c r="AM21" s="4"/>
      <c r="AN21" s="4"/>
      <c r="AO21" s="1"/>
      <c r="AP21" s="1"/>
      <c r="AQ21" s="1"/>
      <c r="AR21" s="1"/>
      <c r="AS21" s="1"/>
      <c r="AT21" s="1"/>
    </row>
    <row r="22" spans="1:53">
      <c r="A22" s="69"/>
      <c r="B22" s="27" t="s">
        <v>240</v>
      </c>
      <c r="C22" s="217"/>
      <c r="D22" s="165">
        <f t="shared" si="3"/>
        <v>0</v>
      </c>
      <c r="E22" s="179"/>
      <c r="F22" s="178"/>
      <c r="G22" s="93" t="s">
        <v>15</v>
      </c>
      <c r="H22" s="178"/>
      <c r="I22" s="3">
        <f t="shared" si="4"/>
        <v>0</v>
      </c>
      <c r="J22" s="86">
        <f t="shared" si="5"/>
        <v>0</v>
      </c>
      <c r="K22" s="93" t="s">
        <v>15</v>
      </c>
      <c r="L22" s="93" t="s">
        <v>15</v>
      </c>
      <c r="M22" s="93" t="s">
        <v>15</v>
      </c>
      <c r="N22" s="93" t="s">
        <v>15</v>
      </c>
      <c r="O22" s="93" t="s">
        <v>15</v>
      </c>
      <c r="Q22" s="69"/>
      <c r="AB22" s="45"/>
      <c r="AC22" s="45"/>
      <c r="AD22" s="45"/>
      <c r="AE22" s="45"/>
      <c r="AF22" s="45"/>
      <c r="AG22" s="45"/>
      <c r="AH22" s="45"/>
      <c r="AI22" s="45"/>
      <c r="AJ22" s="45"/>
      <c r="AM22" s="1"/>
      <c r="AN22" s="1"/>
      <c r="AO22" s="1"/>
      <c r="AP22" s="1"/>
      <c r="AQ22" s="87"/>
      <c r="AR22" s="87"/>
      <c r="AS22" s="87"/>
      <c r="AT22" s="87"/>
    </row>
    <row r="23" spans="1:53">
      <c r="A23" s="69"/>
      <c r="B23" s="174" t="s">
        <v>241</v>
      </c>
      <c r="C23" s="217"/>
      <c r="D23" s="165">
        <f t="shared" si="3"/>
        <v>0</v>
      </c>
      <c r="E23" s="179"/>
      <c r="F23" s="178"/>
      <c r="G23" s="93" t="s">
        <v>15</v>
      </c>
      <c r="H23" s="178"/>
      <c r="I23" s="3">
        <f t="shared" si="4"/>
        <v>0</v>
      </c>
      <c r="J23" s="86">
        <f t="shared" si="5"/>
        <v>0</v>
      </c>
      <c r="K23" s="93" t="s">
        <v>15</v>
      </c>
      <c r="L23" s="93" t="s">
        <v>15</v>
      </c>
      <c r="M23" s="93" t="s">
        <v>15</v>
      </c>
      <c r="N23" s="93" t="s">
        <v>15</v>
      </c>
      <c r="O23" s="93" t="s">
        <v>15</v>
      </c>
      <c r="T23" s="42"/>
      <c r="U23" s="42"/>
      <c r="V23" s="42"/>
      <c r="W23" s="39"/>
      <c r="X23" s="42"/>
      <c r="Y23" s="42"/>
      <c r="Z23" s="42"/>
      <c r="AA23" s="39"/>
      <c r="AB23" s="64"/>
      <c r="AC23" s="64"/>
      <c r="AD23" s="64"/>
      <c r="AE23" s="64"/>
      <c r="AF23" s="64"/>
      <c r="AG23" s="64"/>
      <c r="AH23" s="64"/>
      <c r="AI23" s="64"/>
      <c r="AJ23" s="64"/>
      <c r="AM23" s="1"/>
      <c r="AN23" s="1"/>
      <c r="AO23" s="1"/>
      <c r="AP23" s="1"/>
      <c r="AQ23" s="88"/>
      <c r="AR23" s="88"/>
      <c r="AS23" s="88"/>
      <c r="AT23" s="88"/>
    </row>
    <row r="24" spans="1:53">
      <c r="A24" s="59"/>
      <c r="B24" s="27" t="s">
        <v>242</v>
      </c>
      <c r="C24" s="217"/>
      <c r="D24" s="150">
        <f t="shared" si="3"/>
        <v>0</v>
      </c>
      <c r="E24" s="176"/>
      <c r="F24" s="176"/>
      <c r="G24" s="93" t="s">
        <v>15</v>
      </c>
      <c r="H24" s="176"/>
      <c r="I24" s="3">
        <f t="shared" si="4"/>
        <v>0</v>
      </c>
      <c r="J24" s="3">
        <f t="shared" si="5"/>
        <v>0</v>
      </c>
      <c r="K24" s="93" t="s">
        <v>15</v>
      </c>
      <c r="L24" s="93" t="s">
        <v>15</v>
      </c>
      <c r="M24" s="93" t="s">
        <v>15</v>
      </c>
      <c r="N24" s="93" t="s">
        <v>15</v>
      </c>
      <c r="O24" s="93" t="s">
        <v>15</v>
      </c>
      <c r="P24" s="48"/>
      <c r="T24" s="39"/>
      <c r="U24" s="39"/>
      <c r="V24" s="39"/>
      <c r="W24" s="39"/>
      <c r="X24" s="39"/>
      <c r="Y24" s="39"/>
      <c r="Z24" s="39"/>
      <c r="AA24" s="39"/>
      <c r="AB24" s="65"/>
      <c r="AC24" s="65"/>
      <c r="AD24" s="65"/>
      <c r="AE24" s="65"/>
      <c r="AF24" s="65"/>
      <c r="AG24" s="65"/>
      <c r="AH24" s="65"/>
      <c r="AI24" s="65"/>
      <c r="AJ24" s="65"/>
      <c r="AM24" s="29"/>
      <c r="AN24" s="1"/>
      <c r="AO24" s="53"/>
      <c r="AP24" s="1"/>
      <c r="AQ24" s="85"/>
      <c r="AR24" s="85"/>
      <c r="AS24" s="89"/>
      <c r="AT24" s="89"/>
    </row>
    <row r="25" spans="1:53">
      <c r="A25" s="59"/>
      <c r="B25" s="174" t="s">
        <v>243</v>
      </c>
      <c r="C25" s="217"/>
      <c r="D25" s="150">
        <f t="shared" si="3"/>
        <v>0</v>
      </c>
      <c r="E25" s="176"/>
      <c r="F25" s="176"/>
      <c r="G25" s="93" t="s">
        <v>15</v>
      </c>
      <c r="H25" s="176"/>
      <c r="I25" s="3">
        <f t="shared" si="4"/>
        <v>0</v>
      </c>
      <c r="J25" s="3">
        <f t="shared" si="5"/>
        <v>0</v>
      </c>
      <c r="K25" s="93" t="s">
        <v>15</v>
      </c>
      <c r="L25" s="93" t="s">
        <v>15</v>
      </c>
      <c r="M25" s="93" t="s">
        <v>15</v>
      </c>
      <c r="N25" s="93" t="s">
        <v>15</v>
      </c>
      <c r="O25" s="93" t="s">
        <v>15</v>
      </c>
      <c r="P25" s="4"/>
      <c r="Q25" s="70"/>
      <c r="R25" s="1"/>
      <c r="S25" s="1"/>
      <c r="T25" s="72"/>
      <c r="U25" s="72"/>
      <c r="V25" s="72"/>
      <c r="W25" s="1"/>
      <c r="X25" s="36"/>
      <c r="Y25" s="36"/>
      <c r="Z25" s="36"/>
      <c r="AA25" s="36"/>
      <c r="AB25" s="4"/>
      <c r="AC25" s="1"/>
      <c r="AD25" s="1"/>
      <c r="AE25" s="1"/>
      <c r="AF25" s="1"/>
      <c r="AG25" s="1"/>
      <c r="AH25" s="1"/>
      <c r="AI25" s="1"/>
      <c r="AJ25" s="1"/>
      <c r="AM25" s="1"/>
      <c r="AN25" s="1"/>
      <c r="AO25" s="1"/>
      <c r="AP25" s="1"/>
      <c r="AQ25" s="85"/>
      <c r="AR25" s="85"/>
      <c r="AS25" s="85"/>
      <c r="AT25" s="85"/>
    </row>
    <row r="26" spans="1:53">
      <c r="A26" s="30"/>
      <c r="B26" s="27" t="s">
        <v>244</v>
      </c>
      <c r="C26" s="217"/>
      <c r="D26" s="150">
        <f t="shared" si="3"/>
        <v>0</v>
      </c>
      <c r="E26" s="176"/>
      <c r="F26" s="176"/>
      <c r="G26" s="93" t="s">
        <v>15</v>
      </c>
      <c r="H26" s="182"/>
      <c r="I26" s="3">
        <f t="shared" si="4"/>
        <v>0</v>
      </c>
      <c r="J26" s="3">
        <f t="shared" si="5"/>
        <v>0</v>
      </c>
      <c r="K26" s="93" t="s">
        <v>15</v>
      </c>
      <c r="L26" s="93" t="s">
        <v>15</v>
      </c>
      <c r="M26" s="93" t="s">
        <v>15</v>
      </c>
      <c r="N26" s="93" t="s">
        <v>15</v>
      </c>
      <c r="O26" s="93" t="s">
        <v>15</v>
      </c>
      <c r="P26" s="4"/>
      <c r="Q26" s="70"/>
      <c r="R26" s="1"/>
      <c r="S26" s="1"/>
      <c r="T26" s="72"/>
      <c r="U26" s="72"/>
      <c r="V26" s="72"/>
      <c r="W26" s="1"/>
      <c r="X26" s="36"/>
      <c r="Y26" s="36"/>
      <c r="Z26" s="36"/>
      <c r="AA26" s="36"/>
      <c r="AB26" s="4"/>
      <c r="AC26" s="1"/>
      <c r="AD26" s="1"/>
      <c r="AE26" s="1"/>
      <c r="AF26" s="1"/>
      <c r="AG26" s="1"/>
      <c r="AH26" s="1"/>
      <c r="AI26" s="1"/>
      <c r="AJ26" s="1"/>
      <c r="AM26" s="1"/>
      <c r="AN26" s="1"/>
      <c r="AO26" s="1"/>
      <c r="AP26" s="1"/>
      <c r="AQ26" s="85"/>
      <c r="AR26" s="85"/>
      <c r="AS26" s="85"/>
      <c r="AT26" s="85"/>
    </row>
    <row r="27" spans="1:53" ht="13.8" thickBot="1">
      <c r="A27" s="26"/>
      <c r="B27" s="175" t="s">
        <v>245</v>
      </c>
      <c r="C27" s="219"/>
      <c r="D27" s="164">
        <f t="shared" si="3"/>
        <v>0</v>
      </c>
      <c r="E27" s="180"/>
      <c r="F27" s="180"/>
      <c r="G27" s="93" t="s">
        <v>15</v>
      </c>
      <c r="H27" s="183"/>
      <c r="I27" s="50">
        <f t="shared" si="4"/>
        <v>0</v>
      </c>
      <c r="J27" s="50">
        <f t="shared" si="5"/>
        <v>0</v>
      </c>
      <c r="K27" s="93" t="s">
        <v>15</v>
      </c>
      <c r="L27" s="93" t="s">
        <v>15</v>
      </c>
      <c r="M27" s="93" t="s">
        <v>15</v>
      </c>
      <c r="N27" s="93" t="s">
        <v>15</v>
      </c>
      <c r="O27" s="93" t="s">
        <v>15</v>
      </c>
      <c r="P27" s="61"/>
      <c r="Q27" s="70"/>
      <c r="R27" s="71"/>
      <c r="S27" s="71"/>
      <c r="V27" s="36"/>
      <c r="W27" s="36"/>
      <c r="X27" s="36"/>
      <c r="Y27" s="36"/>
      <c r="Z27" s="36"/>
      <c r="AA27" s="36"/>
      <c r="AB27" s="10"/>
      <c r="AC27" s="10"/>
      <c r="AD27" s="10"/>
      <c r="AE27" s="10"/>
      <c r="AF27" s="10"/>
      <c r="AG27" s="10"/>
      <c r="AH27" s="10"/>
      <c r="AI27" s="10"/>
      <c r="AJ27" s="10"/>
      <c r="AM27" s="54"/>
      <c r="AN27" s="38"/>
      <c r="AO27" s="53"/>
      <c r="AP27" s="1"/>
      <c r="AQ27" s="85"/>
      <c r="AR27" s="85"/>
      <c r="AS27" s="89"/>
      <c r="AT27" s="89"/>
    </row>
    <row r="28" spans="1:53" ht="14.4" thickTop="1" thickBot="1">
      <c r="A28" s="37"/>
      <c r="B28" s="614" t="s">
        <v>229</v>
      </c>
      <c r="C28" s="615"/>
      <c r="D28" s="99">
        <f>SUM(D11:D18)+SUM(D20:D27)</f>
        <v>4.3835176413931141</v>
      </c>
      <c r="E28" s="99">
        <f>SUM(E11:E18)+SUM(E20:E27)</f>
        <v>1.2325509438893738</v>
      </c>
      <c r="F28" s="99">
        <f>SUM(F11:F18)+SUM(F20:F27)</f>
        <v>3.1509666975037405</v>
      </c>
      <c r="G28" s="181">
        <v>9</v>
      </c>
      <c r="H28" s="101" t="s">
        <v>15</v>
      </c>
      <c r="I28" s="99">
        <f>SUM(I11:I18)+SUM(I20:I27)</f>
        <v>8.6284488588121189</v>
      </c>
      <c r="J28" s="99">
        <f>SUM(J11:J18)+SUM(J20:J27)</f>
        <v>2.3465228365520989</v>
      </c>
      <c r="K28" s="83">
        <f>1/(1+I28/D28)</f>
        <v>0.33688356339712172</v>
      </c>
      <c r="L28" s="83">
        <f>K28*D28+((1-K28)*G28)</f>
        <v>7.4447829726725638</v>
      </c>
      <c r="M28" s="83">
        <f>1/(1+(J28/D28))</f>
        <v>0.65133599950226029</v>
      </c>
      <c r="N28" s="83">
        <f>+M28*D28+(1-M28)*G28</f>
        <v>5.993118848772232</v>
      </c>
      <c r="O28" s="141">
        <f>(L28+N28)/2</f>
        <v>6.7189509107223984</v>
      </c>
      <c r="P28" s="61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M28" s="38"/>
      <c r="AN28" s="38"/>
      <c r="AO28" s="1"/>
      <c r="AP28" s="1"/>
      <c r="AQ28" s="85"/>
      <c r="AR28" s="85"/>
      <c r="AS28" s="85"/>
      <c r="AT28" s="85"/>
    </row>
    <row r="29" spans="1:53">
      <c r="A29" s="22"/>
      <c r="B29" s="46"/>
      <c r="C29" s="41"/>
      <c r="D29" s="41"/>
      <c r="F29" s="22"/>
      <c r="H29" s="22"/>
      <c r="J29" s="22"/>
      <c r="K29" s="22"/>
      <c r="L29" s="22"/>
      <c r="P29" s="61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M29" s="38"/>
      <c r="AN29" s="38"/>
      <c r="AO29" s="53"/>
      <c r="AP29" s="30"/>
      <c r="AQ29" s="30"/>
      <c r="AR29" s="30"/>
      <c r="AS29" s="30"/>
      <c r="AT29" s="30"/>
    </row>
    <row r="30" spans="1:53">
      <c r="A30" s="45"/>
      <c r="B30" s="46"/>
      <c r="C30" s="74"/>
      <c r="D30" s="45"/>
      <c r="E30" s="45"/>
      <c r="F30" s="45"/>
      <c r="G30" s="1"/>
      <c r="H30" s="45"/>
      <c r="J30" s="45"/>
      <c r="K30" s="45"/>
      <c r="L30" s="45"/>
      <c r="P30" s="61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M30" s="79"/>
      <c r="AN30" s="79"/>
      <c r="AO30" s="18"/>
      <c r="AP30" s="18"/>
      <c r="AQ30" s="18"/>
      <c r="AR30" s="18"/>
      <c r="AS30" s="18"/>
      <c r="AT30" s="18"/>
    </row>
    <row r="31" spans="1:53">
      <c r="B31" s="46"/>
      <c r="C31" s="29"/>
      <c r="D31" s="1"/>
      <c r="E31" s="1"/>
      <c r="J31" s="53"/>
      <c r="K31" s="1"/>
      <c r="P31" s="61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M31" s="9"/>
      <c r="AN31" s="18"/>
      <c r="AO31" s="18"/>
      <c r="AP31" s="18"/>
      <c r="AQ31" s="18"/>
      <c r="AR31" s="18"/>
      <c r="AS31" s="18"/>
      <c r="AT31" s="18"/>
    </row>
    <row r="32" spans="1:53">
      <c r="B32" s="46"/>
      <c r="C32" s="53"/>
      <c r="D32" s="53"/>
      <c r="E32" s="53"/>
      <c r="F32" s="54"/>
      <c r="G32" s="38"/>
      <c r="H32" s="54"/>
      <c r="J32" s="1"/>
      <c r="K32" s="1"/>
      <c r="L32" s="53"/>
      <c r="M32" s="1"/>
      <c r="P32" s="61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M32" s="90"/>
      <c r="AN32" s="79"/>
      <c r="AO32" s="18"/>
      <c r="AP32" s="18"/>
      <c r="AQ32" s="18"/>
      <c r="AR32" s="18"/>
      <c r="AS32" s="18"/>
      <c r="AT32" s="18"/>
    </row>
    <row r="33" spans="1:54" ht="13.8" thickBot="1">
      <c r="B33" s="46"/>
      <c r="C33" s="29"/>
      <c r="D33" s="1"/>
      <c r="E33" s="1"/>
      <c r="K33" s="30"/>
      <c r="L33" s="36"/>
      <c r="M33" s="1"/>
      <c r="P33" s="61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M33" s="18"/>
      <c r="AN33" s="18"/>
      <c r="AO33" s="18"/>
      <c r="AP33" s="18"/>
      <c r="AQ33" s="18"/>
      <c r="AR33" s="18"/>
      <c r="AS33" s="18"/>
      <c r="AT33" s="18"/>
    </row>
    <row r="34" spans="1:54" ht="13.8" thickTop="1">
      <c r="B34" s="593" t="s">
        <v>275</v>
      </c>
      <c r="C34" s="593"/>
      <c r="D34" s="593"/>
      <c r="E34" s="593"/>
      <c r="F34" s="593"/>
      <c r="G34" s="593"/>
      <c r="H34" s="593"/>
      <c r="I34" s="593"/>
      <c r="J34" s="593"/>
      <c r="K34" s="30"/>
      <c r="L34" s="36"/>
      <c r="M34" s="1"/>
      <c r="P34" s="60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4"/>
      <c r="AC34" s="4"/>
      <c r="AD34" s="4"/>
      <c r="AE34" s="4"/>
      <c r="AF34" s="4"/>
      <c r="AG34" s="4"/>
      <c r="AH34" s="4"/>
      <c r="AI34" s="4"/>
      <c r="AJ34" s="4"/>
      <c r="AM34" s="18"/>
      <c r="AN34" s="18"/>
      <c r="AO34" s="18"/>
      <c r="AP34" s="18"/>
      <c r="AQ34" s="18"/>
      <c r="AR34" s="18"/>
      <c r="AS34" s="18"/>
      <c r="AT34" s="18"/>
    </row>
    <row r="35" spans="1:54" ht="13.8" thickBot="1">
      <c r="A35" s="26"/>
      <c r="B35" s="594"/>
      <c r="C35" s="594"/>
      <c r="D35" s="594"/>
      <c r="E35" s="594"/>
      <c r="F35" s="594"/>
      <c r="G35" s="594"/>
      <c r="H35" s="594"/>
      <c r="I35" s="594"/>
      <c r="J35" s="594"/>
      <c r="K35" s="30"/>
      <c r="L35" s="36"/>
      <c r="M35" s="1"/>
      <c r="P35" s="61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M35" s="18"/>
      <c r="AN35" s="18"/>
      <c r="AO35" s="18"/>
      <c r="AP35" s="18"/>
      <c r="AQ35" s="18"/>
      <c r="AR35" s="18"/>
      <c r="AS35" s="18"/>
      <c r="AT35" s="18"/>
    </row>
    <row r="36" spans="1:54">
      <c r="A36" s="18"/>
      <c r="B36" s="368" t="s">
        <v>17</v>
      </c>
      <c r="C36" s="369"/>
      <c r="D36" s="369"/>
      <c r="E36" s="307" t="s">
        <v>18</v>
      </c>
      <c r="F36" s="369"/>
      <c r="G36" s="369"/>
      <c r="H36" s="307" t="s">
        <v>19</v>
      </c>
      <c r="I36" s="369"/>
      <c r="J36" s="376"/>
      <c r="K36" s="75"/>
      <c r="L36" s="53"/>
      <c r="M36" s="1"/>
      <c r="P36" s="61"/>
      <c r="S36" s="63"/>
      <c r="T36" s="10"/>
      <c r="U36" s="10"/>
      <c r="V36" s="10"/>
      <c r="W36" s="10"/>
      <c r="X36" s="10"/>
      <c r="Y36" s="10"/>
      <c r="Z36" s="10"/>
      <c r="AA36" s="10"/>
      <c r="AB36" s="63"/>
      <c r="AC36" s="10"/>
      <c r="AD36" s="10"/>
      <c r="AE36" s="10"/>
      <c r="AF36" s="10"/>
      <c r="AG36" s="10"/>
      <c r="AH36" s="10"/>
      <c r="AI36" s="10"/>
      <c r="AJ36" s="10"/>
      <c r="AM36" s="45"/>
      <c r="AN36" s="39"/>
      <c r="AO36" s="39"/>
      <c r="AP36" s="39"/>
      <c r="AQ36" s="39"/>
      <c r="AR36" s="39"/>
      <c r="AS36" s="69"/>
    </row>
    <row r="37" spans="1:54" ht="14.4">
      <c r="A37" s="18"/>
      <c r="B37" s="618" t="s">
        <v>47</v>
      </c>
      <c r="C37" s="404"/>
      <c r="D37" s="404"/>
      <c r="E37" s="612" t="s">
        <v>265</v>
      </c>
      <c r="F37" s="612"/>
      <c r="G37" s="612"/>
      <c r="H37" s="612" t="s">
        <v>266</v>
      </c>
      <c r="I37" s="612"/>
      <c r="J37" s="613"/>
      <c r="K37" s="38"/>
      <c r="L37" s="36"/>
      <c r="M37" s="1"/>
      <c r="P37" s="61"/>
      <c r="S37" s="63"/>
      <c r="T37" s="10"/>
      <c r="U37" s="10"/>
      <c r="V37" s="10"/>
      <c r="W37" s="10"/>
      <c r="X37" s="10"/>
      <c r="Y37" s="10"/>
      <c r="Z37" s="10"/>
      <c r="AA37" s="10"/>
      <c r="AB37" s="63"/>
      <c r="AC37" s="10"/>
      <c r="AD37" s="10"/>
      <c r="AE37" s="10"/>
      <c r="AF37" s="10"/>
      <c r="AG37" s="10"/>
      <c r="AH37" s="10"/>
      <c r="AI37" s="10"/>
      <c r="AJ37" s="10"/>
      <c r="AM37" s="45"/>
      <c r="AN37" s="39"/>
      <c r="AO37" s="39"/>
      <c r="AP37" s="39"/>
      <c r="AQ37" s="39"/>
      <c r="AR37" s="39"/>
      <c r="AS37" s="69"/>
    </row>
    <row r="38" spans="1:54" ht="15.6">
      <c r="A38" s="73"/>
      <c r="B38" s="623" t="s">
        <v>37</v>
      </c>
      <c r="C38" s="378"/>
      <c r="D38" s="378"/>
      <c r="E38" s="609" t="s">
        <v>276</v>
      </c>
      <c r="F38" s="610"/>
      <c r="G38" s="610"/>
      <c r="H38" s="609" t="s">
        <v>279</v>
      </c>
      <c r="I38" s="610"/>
      <c r="J38" s="611"/>
      <c r="K38" s="46"/>
      <c r="L38" s="46"/>
      <c r="M38" s="46"/>
      <c r="N38" s="46"/>
      <c r="P38" s="61"/>
      <c r="S38" s="63"/>
      <c r="T38" s="10"/>
      <c r="U38" s="10"/>
      <c r="V38" s="10"/>
      <c r="W38" s="10"/>
      <c r="X38" s="10"/>
      <c r="Y38" s="10"/>
      <c r="Z38" s="10"/>
      <c r="AA38" s="10"/>
      <c r="AB38" s="63"/>
      <c r="AC38" s="10"/>
      <c r="AD38" s="10"/>
      <c r="AE38" s="10"/>
      <c r="AF38" s="10"/>
      <c r="AG38" s="10"/>
      <c r="AH38" s="10"/>
      <c r="AI38" s="10"/>
      <c r="AJ38" s="10"/>
      <c r="AM38" s="45"/>
      <c r="AN38" s="39"/>
      <c r="AO38" s="39"/>
      <c r="AP38" s="39"/>
      <c r="AQ38" s="39"/>
      <c r="AR38" s="39"/>
      <c r="AS38" s="69"/>
    </row>
    <row r="39" spans="1:54">
      <c r="A39" s="35"/>
      <c r="B39" s="379"/>
      <c r="C39" s="378"/>
      <c r="D39" s="378"/>
      <c r="E39" s="632">
        <f>+D28</f>
        <v>4.3835176413931141</v>
      </c>
      <c r="F39" s="633"/>
      <c r="G39" s="634"/>
      <c r="H39" s="635">
        <f>+O28</f>
        <v>6.7189509107223984</v>
      </c>
      <c r="I39" s="636"/>
      <c r="J39" s="636"/>
      <c r="K39" s="35"/>
      <c r="L39" s="35"/>
      <c r="M39" s="35"/>
      <c r="P39" s="61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M39" s="39"/>
      <c r="AN39" s="39"/>
      <c r="AO39" s="39"/>
      <c r="AP39" s="39"/>
      <c r="AQ39" s="39"/>
      <c r="AR39" s="39"/>
      <c r="AS39" s="69"/>
      <c r="AT39" s="47"/>
      <c r="AU39" s="47"/>
      <c r="AV39" s="47"/>
      <c r="AW39" s="47"/>
      <c r="AX39" s="47"/>
      <c r="AY39" s="47"/>
      <c r="AZ39" s="47"/>
      <c r="BA39" s="47"/>
      <c r="BB39" s="47"/>
    </row>
    <row r="40" spans="1:54" ht="15.6">
      <c r="A40" s="39"/>
      <c r="B40" s="623" t="s">
        <v>269</v>
      </c>
      <c r="C40" s="378"/>
      <c r="D40" s="378"/>
      <c r="E40" s="609" t="s">
        <v>277</v>
      </c>
      <c r="F40" s="610"/>
      <c r="G40" s="610"/>
      <c r="H40" s="609" t="s">
        <v>273</v>
      </c>
      <c r="I40" s="610"/>
      <c r="J40" s="611"/>
      <c r="K40" s="39"/>
      <c r="L40" s="39"/>
      <c r="M40" s="40"/>
      <c r="P40" s="61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M40" s="37"/>
      <c r="AP40" s="4"/>
      <c r="AT40" s="1"/>
      <c r="AY40" s="1"/>
      <c r="AZ40" s="1"/>
      <c r="BA40" s="1"/>
      <c r="BB40" s="1"/>
    </row>
    <row r="41" spans="1:54">
      <c r="A41" s="37"/>
      <c r="B41" s="379"/>
      <c r="C41" s="378"/>
      <c r="D41" s="378"/>
      <c r="E41" s="628">
        <f>+E28</f>
        <v>1.2325509438893738</v>
      </c>
      <c r="F41" s="629"/>
      <c r="G41" s="630"/>
      <c r="H41" s="556">
        <f>+O28*E28/D28</f>
        <v>1.8892245827315421</v>
      </c>
      <c r="I41" s="631"/>
      <c r="J41" s="631"/>
      <c r="K41" s="1"/>
      <c r="L41" s="1"/>
      <c r="M41" s="1"/>
      <c r="P41" s="61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M41" s="48"/>
      <c r="AN41" s="46"/>
      <c r="AO41" s="1"/>
      <c r="AP41" s="8"/>
      <c r="AQ41" s="4"/>
      <c r="AR41" s="47"/>
      <c r="AT41" s="4"/>
      <c r="AY41" s="4"/>
      <c r="AZ41" s="4"/>
      <c r="BA41" s="4"/>
    </row>
    <row r="42" spans="1:54" ht="15.6">
      <c r="A42" s="22"/>
      <c r="B42" s="624" t="s">
        <v>270</v>
      </c>
      <c r="C42" s="625"/>
      <c r="D42" s="625"/>
      <c r="E42" s="609" t="s">
        <v>278</v>
      </c>
      <c r="F42" s="610"/>
      <c r="G42" s="610"/>
      <c r="H42" s="609" t="s">
        <v>274</v>
      </c>
      <c r="I42" s="610"/>
      <c r="J42" s="611"/>
      <c r="K42" s="41"/>
      <c r="L42" s="41"/>
      <c r="M42" s="1"/>
      <c r="P42" s="61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M42" s="29"/>
      <c r="AN42" s="1"/>
      <c r="AP42" s="49"/>
      <c r="AQ42" s="1"/>
      <c r="AR42" s="49"/>
      <c r="AS42" s="49"/>
      <c r="AY42" s="4"/>
      <c r="AZ42" s="4"/>
      <c r="BA42" s="4"/>
    </row>
    <row r="43" spans="1:54" ht="13.8" thickBot="1">
      <c r="A43" s="45"/>
      <c r="B43" s="626"/>
      <c r="C43" s="627"/>
      <c r="D43" s="627"/>
      <c r="E43" s="619">
        <f>+F28</f>
        <v>3.1509666975037405</v>
      </c>
      <c r="F43" s="620"/>
      <c r="G43" s="621"/>
      <c r="H43" s="558">
        <f>+O28*F28/D28</f>
        <v>4.8297263279908567</v>
      </c>
      <c r="I43" s="622"/>
      <c r="J43" s="622"/>
      <c r="K43" s="45"/>
      <c r="L43" s="45"/>
      <c r="M43" s="45"/>
      <c r="P43" s="61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M43" s="29"/>
      <c r="AN43" s="1"/>
      <c r="AP43" s="49"/>
      <c r="AQ43" s="1"/>
      <c r="AR43" s="49"/>
      <c r="AS43" s="49"/>
      <c r="AY43" s="4"/>
      <c r="AZ43" s="4"/>
      <c r="BA43" s="8"/>
    </row>
    <row r="44" spans="1:54">
      <c r="A44" s="45"/>
      <c r="C44" s="22"/>
      <c r="D44" s="22"/>
      <c r="E44" s="22"/>
      <c r="F44" s="41"/>
      <c r="G44" s="22"/>
      <c r="H44" s="22"/>
      <c r="I44" s="41"/>
      <c r="K44" s="1"/>
      <c r="L44" s="1"/>
      <c r="M44" s="1"/>
      <c r="AM44" s="29"/>
      <c r="AN44" s="1"/>
      <c r="AP44" s="36"/>
      <c r="AQ44" s="1"/>
      <c r="AR44" s="49"/>
      <c r="AS44" s="49"/>
      <c r="AY44" s="1"/>
      <c r="AZ44" s="9"/>
      <c r="BA44" s="6"/>
    </row>
    <row r="45" spans="1:54">
      <c r="A45" s="1"/>
      <c r="B45" s="1"/>
      <c r="C45" s="1"/>
      <c r="F45" s="1"/>
      <c r="G45" s="1"/>
      <c r="H45" s="1"/>
      <c r="I45" s="1"/>
      <c r="J45" s="1"/>
      <c r="K45" s="1"/>
      <c r="L45" s="1"/>
      <c r="M45" s="1"/>
    </row>
    <row r="46" spans="1:54">
      <c r="A46" s="1"/>
      <c r="B46" s="1"/>
      <c r="C46" s="54"/>
      <c r="D46" s="76"/>
      <c r="E46" s="55"/>
      <c r="F46" s="54"/>
      <c r="G46" s="76"/>
      <c r="H46" s="55"/>
      <c r="I46" s="54"/>
      <c r="J46" s="76"/>
      <c r="K46" s="54"/>
      <c r="L46" s="76"/>
      <c r="M46" s="55"/>
    </row>
    <row r="47" spans="1:5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54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4">
      <c r="A49" s="30"/>
      <c r="B49" s="30"/>
      <c r="C49" s="30"/>
      <c r="D49" s="53"/>
      <c r="E49" s="30"/>
      <c r="F49" s="30"/>
      <c r="G49" s="41"/>
      <c r="I49" s="30"/>
      <c r="J49" s="53"/>
      <c r="K49" s="30"/>
      <c r="L49" s="53"/>
      <c r="M49" s="1"/>
    </row>
    <row r="50" spans="1:14">
      <c r="A50" s="59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4">
      <c r="A51" s="5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4">
      <c r="A52" s="48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4">
      <c r="A53" s="59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4">
      <c r="A54" s="59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4">
      <c r="A55" s="59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4">
      <c r="A56" s="73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>
      <c r="C57" s="36"/>
      <c r="D57" s="36"/>
      <c r="E57" s="36"/>
      <c r="F57" s="36"/>
      <c r="G57" s="1"/>
      <c r="H57" s="36"/>
      <c r="I57" s="36"/>
      <c r="J57" s="36"/>
      <c r="K57" s="1"/>
      <c r="L57" s="36"/>
      <c r="M57" s="36"/>
    </row>
    <row r="58" spans="1:14">
      <c r="A58" s="4"/>
      <c r="B58" s="1"/>
      <c r="C58" s="1"/>
      <c r="D58" s="1"/>
      <c r="E58" s="1"/>
      <c r="F58" s="1"/>
      <c r="G58" s="1"/>
    </row>
    <row r="60" spans="1:14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4">
      <c r="A61" s="22"/>
      <c r="B61" s="22"/>
      <c r="C61" s="22"/>
      <c r="E61" s="41"/>
      <c r="F61" s="1"/>
      <c r="G61" s="1"/>
      <c r="H61" s="1"/>
      <c r="I61" s="41"/>
      <c r="J61" s="1"/>
      <c r="K61" s="1"/>
      <c r="L61" s="1"/>
      <c r="M61" s="1"/>
    </row>
    <row r="62" spans="1:14">
      <c r="A62" s="45"/>
      <c r="B62" s="45"/>
      <c r="C62" s="45"/>
      <c r="D62" s="45"/>
      <c r="E62" s="4"/>
      <c r="F62" s="4"/>
      <c r="G62" s="4"/>
      <c r="H62" s="4"/>
      <c r="I62" s="4"/>
      <c r="J62" s="4"/>
      <c r="K62" s="4"/>
      <c r="L62" s="4"/>
      <c r="M62" s="4"/>
    </row>
    <row r="63" spans="1:14">
      <c r="A63" s="69"/>
      <c r="B63" s="69"/>
      <c r="C63" s="69"/>
      <c r="D63" s="69"/>
      <c r="E63" s="41"/>
      <c r="I63" s="41"/>
      <c r="J63" s="22"/>
      <c r="K63" s="22"/>
    </row>
    <row r="64" spans="1:14">
      <c r="A64" s="46"/>
      <c r="B64" s="46"/>
      <c r="C64" s="46"/>
      <c r="E64" s="36"/>
      <c r="F64" s="1"/>
      <c r="G64" s="1"/>
      <c r="H64" s="1"/>
      <c r="I64" s="10"/>
      <c r="J64" s="10"/>
      <c r="K64" s="10"/>
      <c r="L64" s="10"/>
      <c r="M64" s="10"/>
    </row>
    <row r="65" spans="1:14">
      <c r="A65" s="46"/>
      <c r="B65" s="46"/>
      <c r="C65" s="46"/>
      <c r="E65" s="36"/>
      <c r="F65" s="1"/>
      <c r="G65" s="1"/>
      <c r="H65" s="1"/>
      <c r="I65" s="10"/>
      <c r="J65" s="10"/>
      <c r="K65" s="10"/>
      <c r="L65" s="10"/>
      <c r="M65" s="10"/>
    </row>
    <row r="66" spans="1:14">
      <c r="A66" s="48"/>
      <c r="B66" s="46"/>
      <c r="C66" s="46"/>
      <c r="E66" s="36"/>
      <c r="F66" s="1"/>
      <c r="G66" s="1"/>
      <c r="H66" s="1"/>
      <c r="I66" s="10"/>
      <c r="J66" s="10"/>
      <c r="K66" s="10"/>
      <c r="L66" s="10"/>
      <c r="M66" s="10"/>
    </row>
    <row r="67" spans="1:14">
      <c r="A67" s="46"/>
      <c r="B67" s="46"/>
      <c r="C67" s="46"/>
      <c r="E67" s="36"/>
      <c r="F67" s="1"/>
      <c r="G67" s="1"/>
      <c r="H67" s="1"/>
      <c r="I67" s="10"/>
      <c r="J67" s="10"/>
      <c r="K67" s="10"/>
      <c r="L67" s="10"/>
      <c r="M67" s="10"/>
    </row>
    <row r="68" spans="1:14">
      <c r="A68" s="73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73" spans="1:14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1:14">
      <c r="A74" s="44"/>
      <c r="B74" s="44"/>
      <c r="C74" s="44"/>
      <c r="D74" s="45"/>
      <c r="E74" s="45"/>
      <c r="F74" s="45"/>
      <c r="G74" s="45"/>
      <c r="I74" s="45"/>
      <c r="J74" s="45"/>
      <c r="K74" s="45"/>
      <c r="L74" s="45"/>
      <c r="M74" s="45"/>
    </row>
    <row r="75" spans="1:14">
      <c r="A75" s="44"/>
      <c r="B75" s="44"/>
      <c r="C75" s="44"/>
      <c r="D75" s="22"/>
      <c r="G75" s="22"/>
      <c r="H75" s="22"/>
      <c r="I75" s="22"/>
      <c r="J75" s="45"/>
      <c r="K75" s="45"/>
      <c r="L75" s="22"/>
      <c r="M75" s="22"/>
    </row>
    <row r="76" spans="1:14">
      <c r="A76" s="46"/>
      <c r="B76" s="46"/>
      <c r="C76" s="46"/>
      <c r="D76" s="36"/>
      <c r="E76" s="1"/>
      <c r="F76" s="1"/>
      <c r="G76" s="36"/>
      <c r="H76" s="1"/>
      <c r="I76" s="1"/>
      <c r="J76" s="1"/>
      <c r="K76" s="1"/>
      <c r="L76" s="10"/>
      <c r="M76" s="10"/>
    </row>
    <row r="77" spans="1:14">
      <c r="A77" s="46"/>
      <c r="B77" s="46"/>
      <c r="C77" s="46"/>
      <c r="D77" s="36"/>
      <c r="E77" s="1"/>
      <c r="F77" s="1"/>
      <c r="G77" s="36"/>
      <c r="H77" s="1"/>
      <c r="I77" s="1"/>
      <c r="J77" s="1"/>
      <c r="K77" s="1"/>
      <c r="L77" s="10"/>
      <c r="M77" s="10"/>
    </row>
    <row r="78" spans="1:14">
      <c r="A78" s="46"/>
      <c r="B78" s="46"/>
      <c r="C78" s="46"/>
      <c r="D78" s="36"/>
      <c r="E78" s="1"/>
      <c r="F78" s="1"/>
      <c r="G78" s="36"/>
      <c r="H78" s="1"/>
      <c r="I78" s="1"/>
      <c r="J78" s="1"/>
      <c r="K78" s="1"/>
      <c r="L78" s="10"/>
      <c r="M78" s="10"/>
    </row>
  </sheetData>
  <sheetProtection sheet="1" objects="1" scenarios="1"/>
  <mergeCells count="48">
    <mergeCell ref="B42:D43"/>
    <mergeCell ref="E42:G42"/>
    <mergeCell ref="H42:J42"/>
    <mergeCell ref="E43:G43"/>
    <mergeCell ref="H43:J43"/>
    <mergeCell ref="E40:G40"/>
    <mergeCell ref="H40:J40"/>
    <mergeCell ref="E41:G41"/>
    <mergeCell ref="H41:J41"/>
    <mergeCell ref="B34:J35"/>
    <mergeCell ref="B36:D36"/>
    <mergeCell ref="E36:G36"/>
    <mergeCell ref="H36:J36"/>
    <mergeCell ref="H37:J37"/>
    <mergeCell ref="B38:D39"/>
    <mergeCell ref="E38:G38"/>
    <mergeCell ref="H38:J38"/>
    <mergeCell ref="E39:G39"/>
    <mergeCell ref="H39:J39"/>
    <mergeCell ref="B40:D41"/>
    <mergeCell ref="B5:C5"/>
    <mergeCell ref="B19:O19"/>
    <mergeCell ref="B3:O4"/>
    <mergeCell ref="O6:O7"/>
    <mergeCell ref="O8:O9"/>
    <mergeCell ref="D8:D9"/>
    <mergeCell ref="N6:N7"/>
    <mergeCell ref="M8:M9"/>
    <mergeCell ref="N8:N9"/>
    <mergeCell ref="B10:O10"/>
    <mergeCell ref="D6:F7"/>
    <mergeCell ref="B6:C9"/>
    <mergeCell ref="H6:H9"/>
    <mergeCell ref="I6:I7"/>
    <mergeCell ref="E8:E9"/>
    <mergeCell ref="G6:G9"/>
    <mergeCell ref="B28:C28"/>
    <mergeCell ref="B37:D37"/>
    <mergeCell ref="E37:G37"/>
    <mergeCell ref="F8:F9"/>
    <mergeCell ref="M6:M7"/>
    <mergeCell ref="L8:L9"/>
    <mergeCell ref="I8:I9"/>
    <mergeCell ref="J8:J9"/>
    <mergeCell ref="J6:J7"/>
    <mergeCell ref="K6:K7"/>
    <mergeCell ref="L6:L7"/>
    <mergeCell ref="K8:K9"/>
  </mergeCells>
  <dataValidations disablePrompts="1" count="1">
    <dataValidation type="list" allowBlank="1" showInputMessage="1" showErrorMessage="1" sqref="AO41 S21 S7" xr:uid="{00000000-0002-0000-0700-000000000000}">
      <formula1>Local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P53"/>
  <sheetViews>
    <sheetView workbookViewId="0"/>
  </sheetViews>
  <sheetFormatPr defaultRowHeight="13.2"/>
  <cols>
    <col min="2" max="2" width="11.88671875" bestFit="1" customWidth="1"/>
    <col min="4" max="4" width="15.33203125" bestFit="1" customWidth="1"/>
    <col min="6" max="6" width="10.88671875" customWidth="1"/>
    <col min="8" max="8" width="12.6640625" bestFit="1" customWidth="1"/>
    <col min="10" max="10" width="15" customWidth="1"/>
    <col min="12" max="12" width="10.6640625" customWidth="1"/>
    <col min="14" max="14" width="11.5546875" bestFit="1" customWidth="1"/>
  </cols>
  <sheetData>
    <row r="3" spans="2:12">
      <c r="B3" s="8" t="s">
        <v>54</v>
      </c>
      <c r="D3" s="8" t="s">
        <v>63</v>
      </c>
      <c r="F3" s="4" t="s">
        <v>64</v>
      </c>
      <c r="H3" s="4" t="s">
        <v>428</v>
      </c>
    </row>
    <row r="4" spans="2:12">
      <c r="B4" s="9">
        <v>9</v>
      </c>
      <c r="D4" s="9">
        <v>0</v>
      </c>
      <c r="F4" s="1">
        <v>1</v>
      </c>
      <c r="H4" s="29" t="s">
        <v>449</v>
      </c>
    </row>
    <row r="5" spans="2:12">
      <c r="B5" s="9">
        <v>9.5</v>
      </c>
      <c r="D5" s="9">
        <v>1</v>
      </c>
      <c r="F5" s="1">
        <v>2</v>
      </c>
      <c r="H5" s="29" t="s">
        <v>429</v>
      </c>
    </row>
    <row r="6" spans="2:12">
      <c r="B6" s="9">
        <v>10</v>
      </c>
      <c r="D6" s="9">
        <v>2</v>
      </c>
      <c r="F6" s="1">
        <v>3</v>
      </c>
      <c r="H6" s="29" t="s">
        <v>430</v>
      </c>
    </row>
    <row r="7" spans="2:12">
      <c r="B7" s="9">
        <v>10.5</v>
      </c>
      <c r="D7" s="9">
        <v>3</v>
      </c>
      <c r="F7" s="1">
        <v>4</v>
      </c>
      <c r="H7" s="29" t="s">
        <v>431</v>
      </c>
    </row>
    <row r="8" spans="2:12">
      <c r="B8" s="9">
        <v>11</v>
      </c>
      <c r="D8" s="9">
        <v>4</v>
      </c>
      <c r="F8" s="1">
        <v>5</v>
      </c>
      <c r="H8" s="29" t="s">
        <v>432</v>
      </c>
    </row>
    <row r="9" spans="2:12">
      <c r="B9" s="9">
        <v>11.5</v>
      </c>
      <c r="D9" s="9">
        <v>5</v>
      </c>
      <c r="F9" s="1">
        <v>6</v>
      </c>
    </row>
    <row r="10" spans="2:12">
      <c r="B10" s="9">
        <v>12</v>
      </c>
      <c r="D10" s="9">
        <v>6</v>
      </c>
      <c r="F10" s="1">
        <v>7</v>
      </c>
    </row>
    <row r="11" spans="2:12">
      <c r="D11" s="9">
        <v>7</v>
      </c>
    </row>
    <row r="12" spans="2:12">
      <c r="D12" s="9">
        <v>8</v>
      </c>
    </row>
    <row r="15" spans="2:12">
      <c r="H15" s="4" t="s">
        <v>72</v>
      </c>
      <c r="J15" s="4" t="s">
        <v>74</v>
      </c>
    </row>
    <row r="16" spans="2:12">
      <c r="B16" s="4" t="s">
        <v>474</v>
      </c>
      <c r="D16" s="4" t="s">
        <v>53</v>
      </c>
      <c r="F16" s="4" t="s">
        <v>69</v>
      </c>
      <c r="H16" s="4" t="s">
        <v>73</v>
      </c>
      <c r="J16" s="4" t="s">
        <v>75</v>
      </c>
      <c r="L16" s="4" t="s">
        <v>85</v>
      </c>
    </row>
    <row r="17" spans="2:12">
      <c r="B17" s="29" t="s">
        <v>449</v>
      </c>
      <c r="D17" s="9" t="s">
        <v>65</v>
      </c>
      <c r="F17" s="9" t="s">
        <v>70</v>
      </c>
      <c r="H17" s="9" t="s">
        <v>70</v>
      </c>
      <c r="J17" s="9" t="s">
        <v>70</v>
      </c>
      <c r="L17" s="29" t="s">
        <v>86</v>
      </c>
    </row>
    <row r="18" spans="2:12">
      <c r="B18" s="1" t="s">
        <v>475</v>
      </c>
      <c r="D18" s="9" t="s">
        <v>66</v>
      </c>
      <c r="F18" s="9" t="s">
        <v>71</v>
      </c>
      <c r="H18" s="9" t="s">
        <v>71</v>
      </c>
      <c r="J18" s="9" t="s">
        <v>80</v>
      </c>
      <c r="L18" s="29" t="s">
        <v>87</v>
      </c>
    </row>
    <row r="19" spans="2:12">
      <c r="B19" s="1" t="s">
        <v>476</v>
      </c>
      <c r="D19" s="29" t="s">
        <v>67</v>
      </c>
      <c r="J19" s="9" t="s">
        <v>81</v>
      </c>
    </row>
    <row r="20" spans="2:12">
      <c r="B20" s="1" t="s">
        <v>480</v>
      </c>
      <c r="D20" s="9" t="s">
        <v>68</v>
      </c>
    </row>
    <row r="21" spans="2:12">
      <c r="B21" s="1" t="s">
        <v>477</v>
      </c>
    </row>
    <row r="22" spans="2:12">
      <c r="B22" s="1" t="s">
        <v>478</v>
      </c>
      <c r="F22" s="4" t="s">
        <v>55</v>
      </c>
      <c r="H22" s="4" t="s">
        <v>56</v>
      </c>
      <c r="J22" s="4" t="s">
        <v>76</v>
      </c>
    </row>
    <row r="23" spans="2:12">
      <c r="B23" s="1" t="s">
        <v>479</v>
      </c>
      <c r="F23" s="9" t="s">
        <v>70</v>
      </c>
      <c r="H23" s="9" t="s">
        <v>70</v>
      </c>
      <c r="J23" s="9" t="s">
        <v>70</v>
      </c>
    </row>
    <row r="24" spans="2:12">
      <c r="B24" s="1" t="s">
        <v>481</v>
      </c>
      <c r="F24" s="9" t="s">
        <v>71</v>
      </c>
      <c r="H24" s="9" t="s">
        <v>71</v>
      </c>
      <c r="J24" s="9" t="s">
        <v>71</v>
      </c>
    </row>
    <row r="25" spans="2:12">
      <c r="B25" s="1" t="s">
        <v>496</v>
      </c>
    </row>
    <row r="26" spans="2:12">
      <c r="B26" s="1" t="s">
        <v>482</v>
      </c>
    </row>
    <row r="27" spans="2:12">
      <c r="B27" s="1" t="s">
        <v>483</v>
      </c>
    </row>
    <row r="28" spans="2:12">
      <c r="B28" s="1" t="s">
        <v>484</v>
      </c>
      <c r="D28" s="4" t="s">
        <v>95</v>
      </c>
      <c r="F28" s="4" t="s">
        <v>99</v>
      </c>
      <c r="H28" s="4" t="s">
        <v>100</v>
      </c>
      <c r="J28" s="4" t="s">
        <v>101</v>
      </c>
      <c r="L28" s="4" t="s">
        <v>105</v>
      </c>
    </row>
    <row r="29" spans="2:12">
      <c r="B29" s="1" t="s">
        <v>492</v>
      </c>
      <c r="D29" s="29" t="s">
        <v>96</v>
      </c>
      <c r="F29" s="1">
        <v>0</v>
      </c>
      <c r="H29" s="1">
        <v>0</v>
      </c>
      <c r="J29" s="29" t="s">
        <v>70</v>
      </c>
      <c r="L29" s="29" t="s">
        <v>86</v>
      </c>
    </row>
    <row r="30" spans="2:12">
      <c r="B30" s="1" t="s">
        <v>485</v>
      </c>
      <c r="D30" s="29" t="s">
        <v>97</v>
      </c>
      <c r="F30" s="1">
        <v>1</v>
      </c>
      <c r="H30" s="1">
        <v>1</v>
      </c>
      <c r="J30" s="29" t="s">
        <v>71</v>
      </c>
      <c r="L30" s="29" t="s">
        <v>87</v>
      </c>
    </row>
    <row r="31" spans="2:12">
      <c r="B31" s="1" t="s">
        <v>486</v>
      </c>
      <c r="D31" s="29" t="s">
        <v>98</v>
      </c>
      <c r="F31" s="1">
        <v>2</v>
      </c>
      <c r="H31" s="1">
        <v>2</v>
      </c>
    </row>
    <row r="32" spans="2:12">
      <c r="B32" s="1" t="s">
        <v>497</v>
      </c>
      <c r="F32" s="1">
        <v>3</v>
      </c>
      <c r="H32" s="1">
        <v>3</v>
      </c>
    </row>
    <row r="33" spans="2:16">
      <c r="B33" s="1" t="s">
        <v>487</v>
      </c>
      <c r="F33" s="1">
        <v>4</v>
      </c>
      <c r="H33" s="1">
        <v>4</v>
      </c>
    </row>
    <row r="34" spans="2:16">
      <c r="B34" s="1" t="s">
        <v>498</v>
      </c>
    </row>
    <row r="35" spans="2:16">
      <c r="B35" s="1" t="s">
        <v>488</v>
      </c>
    </row>
    <row r="36" spans="2:16">
      <c r="B36" s="1" t="s">
        <v>489</v>
      </c>
      <c r="D36" s="4" t="s">
        <v>172</v>
      </c>
      <c r="F36" s="4" t="s">
        <v>175</v>
      </c>
      <c r="H36" s="4" t="s">
        <v>347</v>
      </c>
      <c r="J36" s="4" t="s">
        <v>197</v>
      </c>
      <c r="L36" s="4" t="s">
        <v>221</v>
      </c>
      <c r="N36" s="8" t="s">
        <v>345</v>
      </c>
      <c r="P36" s="4" t="s">
        <v>358</v>
      </c>
    </row>
    <row r="37" spans="2:16">
      <c r="B37" s="1" t="s">
        <v>490</v>
      </c>
      <c r="D37" s="1">
        <v>10</v>
      </c>
      <c r="F37" s="29" t="s">
        <v>173</v>
      </c>
      <c r="H37" s="29" t="s">
        <v>187</v>
      </c>
      <c r="J37" s="9">
        <v>0</v>
      </c>
      <c r="L37" s="1">
        <v>0</v>
      </c>
      <c r="N37" s="1">
        <v>0</v>
      </c>
      <c r="P37" s="9">
        <v>0</v>
      </c>
    </row>
    <row r="38" spans="2:16">
      <c r="B38" s="1" t="s">
        <v>491</v>
      </c>
      <c r="D38" s="1">
        <v>20</v>
      </c>
      <c r="F38" s="29" t="s">
        <v>174</v>
      </c>
      <c r="H38" s="77" t="s">
        <v>346</v>
      </c>
      <c r="J38" s="9">
        <v>1</v>
      </c>
      <c r="L38" s="1">
        <v>1</v>
      </c>
      <c r="N38" s="1">
        <v>1</v>
      </c>
      <c r="P38" s="9">
        <v>1</v>
      </c>
    </row>
    <row r="39" spans="2:16">
      <c r="B39" s="1" t="s">
        <v>493</v>
      </c>
      <c r="D39" s="1">
        <v>30</v>
      </c>
      <c r="F39" s="1"/>
      <c r="H39" s="77" t="s">
        <v>188</v>
      </c>
      <c r="J39" s="9">
        <v>2</v>
      </c>
      <c r="L39" s="1" t="str">
        <f>IF(LEFT('Rural Multilane Intersection'!$I$9,1)="4",2,"")</f>
        <v/>
      </c>
      <c r="N39" s="1" t="str">
        <f>IF(LEFT('Rural Multilane Intersection'!$I$9,1)="4",2,"")</f>
        <v/>
      </c>
      <c r="P39" s="9">
        <v>2</v>
      </c>
    </row>
    <row r="40" spans="2:16">
      <c r="B40" s="1" t="s">
        <v>494</v>
      </c>
      <c r="D40" s="1">
        <v>40</v>
      </c>
      <c r="F40" s="1"/>
      <c r="H40" s="41" t="s">
        <v>189</v>
      </c>
      <c r="J40" s="9">
        <v>3</v>
      </c>
      <c r="P40" s="9">
        <v>3</v>
      </c>
    </row>
    <row r="41" spans="2:16">
      <c r="B41" s="1" t="s">
        <v>495</v>
      </c>
      <c r="D41" s="1">
        <v>50</v>
      </c>
      <c r="F41" s="1"/>
      <c r="H41" s="41" t="s">
        <v>190</v>
      </c>
      <c r="J41" s="9">
        <v>4</v>
      </c>
      <c r="P41" s="9">
        <v>4</v>
      </c>
    </row>
    <row r="42" spans="2:16">
      <c r="B42" s="1" t="s">
        <v>499</v>
      </c>
      <c r="D42" s="1">
        <v>60</v>
      </c>
      <c r="F42" s="1"/>
      <c r="H42" s="41" t="s">
        <v>191</v>
      </c>
      <c r="J42" s="9">
        <v>5</v>
      </c>
      <c r="P42" s="9">
        <v>5</v>
      </c>
    </row>
    <row r="43" spans="2:16">
      <c r="D43" s="1">
        <v>70</v>
      </c>
      <c r="F43" s="1"/>
      <c r="J43" s="9">
        <v>6</v>
      </c>
      <c r="P43" s="9">
        <v>6</v>
      </c>
    </row>
    <row r="44" spans="2:16">
      <c r="D44" s="1">
        <v>80</v>
      </c>
      <c r="F44" s="1"/>
      <c r="J44" s="9">
        <v>7</v>
      </c>
      <c r="P44" s="9">
        <v>7</v>
      </c>
    </row>
    <row r="45" spans="2:16">
      <c r="D45" s="1">
        <v>90</v>
      </c>
      <c r="F45" s="1"/>
      <c r="J45" s="9">
        <v>8</v>
      </c>
      <c r="P45" s="9">
        <v>8</v>
      </c>
    </row>
    <row r="46" spans="2:16">
      <c r="D46" s="1">
        <v>100</v>
      </c>
      <c r="J46" s="29">
        <v>9</v>
      </c>
    </row>
    <row r="47" spans="2:16">
      <c r="J47" s="29">
        <v>10</v>
      </c>
    </row>
    <row r="50" spans="12:13">
      <c r="L50" t="str">
        <f>'Rural Multilane Intersection'!$I$9</f>
        <v>3ST</v>
      </c>
    </row>
    <row r="51" spans="12:13">
      <c r="L51" s="26" t="s">
        <v>96</v>
      </c>
      <c r="M51">
        <v>1</v>
      </c>
    </row>
    <row r="52" spans="12:13">
      <c r="L52" s="26" t="s">
        <v>97</v>
      </c>
      <c r="M52">
        <v>2</v>
      </c>
    </row>
    <row r="53" spans="12:13">
      <c r="L53" s="26" t="s">
        <v>98</v>
      </c>
      <c r="M53">
        <v>4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27</vt:i4>
      </vt:variant>
    </vt:vector>
  </HeadingPairs>
  <TitlesOfParts>
    <vt:vector size="36" baseType="lpstr">
      <vt:lpstr>Instructions</vt:lpstr>
      <vt:lpstr>Rural Divided Multilane Seg</vt:lpstr>
      <vt:lpstr>Rural Undivided Multilane Seg</vt:lpstr>
      <vt:lpstr>Segment Tables</vt:lpstr>
      <vt:lpstr>Rural Multilane Intersection</vt:lpstr>
      <vt:lpstr>Intersection Tables</vt:lpstr>
      <vt:lpstr>Rural Multilane Site Total</vt:lpstr>
      <vt:lpstr>Rural Multilane Project Total</vt:lpstr>
      <vt:lpstr>Construction</vt:lpstr>
      <vt:lpstr>CRumble</vt:lpstr>
      <vt:lpstr>Differ</vt:lpstr>
      <vt:lpstr>District</vt:lpstr>
      <vt:lpstr>Division</vt:lpstr>
      <vt:lpstr>IApproach</vt:lpstr>
      <vt:lpstr>ILight</vt:lpstr>
      <vt:lpstr>IType</vt:lpstr>
      <vt:lpstr>LApproach</vt:lpstr>
      <vt:lpstr>Lighting</vt:lpstr>
      <vt:lpstr>Local</vt:lpstr>
      <vt:lpstr>LWidth</vt:lpstr>
      <vt:lpstr>MWidth</vt:lpstr>
      <vt:lpstr>PLane</vt:lpstr>
      <vt:lpstr>PLane2</vt:lpstr>
      <vt:lpstr>RApproach</vt:lpstr>
      <vt:lpstr>Region</vt:lpstr>
      <vt:lpstr>RHR</vt:lpstr>
      <vt:lpstr>RtApproach</vt:lpstr>
      <vt:lpstr>Shld2</vt:lpstr>
      <vt:lpstr>Shld3</vt:lpstr>
      <vt:lpstr>SpEnforce</vt:lpstr>
      <vt:lpstr>Spiral</vt:lpstr>
      <vt:lpstr>SSlope</vt:lpstr>
      <vt:lpstr>SSlope2</vt:lpstr>
      <vt:lpstr>SType</vt:lpstr>
      <vt:lpstr>SWidth</vt:lpstr>
      <vt:lpstr>TWLTL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Dixon</dc:creator>
  <dc:description>Prepared for HSM Training -- NCHRP 17-38</dc:description>
  <cp:lastModifiedBy>Pratt, Mike</cp:lastModifiedBy>
  <dcterms:created xsi:type="dcterms:W3CDTF">2009-11-22T21:24:43Z</dcterms:created>
  <dcterms:modified xsi:type="dcterms:W3CDTF">2024-02-28T20:00:36Z</dcterms:modified>
</cp:coreProperties>
</file>