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7083\Implementation\Updated_spreadsheets\Next_release\"/>
    </mc:Choice>
  </mc:AlternateContent>
  <xr:revisionPtr revIDLastSave="0" documentId="13_ncr:1_{541BF1AD-471A-4BDC-909F-F64D8E3446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19" r:id="rId1"/>
    <sheet name="Segment 1" sheetId="26" r:id="rId2"/>
    <sheet name="Segment 2" sheetId="9" r:id="rId3"/>
    <sheet name="Segment Tables" sheetId="24" r:id="rId4"/>
    <sheet name="Intersection 1" sheetId="14" r:id="rId5"/>
    <sheet name="Intersection 2" sheetId="27" r:id="rId6"/>
    <sheet name="Intersection Tables" sheetId="25" r:id="rId7"/>
    <sheet name="Rural 2-Lane Site Total" sheetId="20" r:id="rId8"/>
    <sheet name="Rural 2-Lane Project Total" sheetId="21" r:id="rId9"/>
    <sheet name="Construction - Do Not Delete" sheetId="10" r:id="rId10"/>
  </sheets>
  <definedNames>
    <definedName name="CRumble">'Construction - Do Not Delete'!$H$17:$H$18</definedName>
    <definedName name="Differ">'Construction - Do Not Delete'!$L$29:$L$30</definedName>
    <definedName name="District">'Construction - Do Not Delete'!$B$17:$B$42</definedName>
    <definedName name="Division">'Construction - Do Not Delete'!$F$37:$F$38</definedName>
    <definedName name="IApproach">'Construction - Do Not Delete'!$L$37:$L$39</definedName>
    <definedName name="ILight">'Construction - Do Not Delete'!$J$29:$J$30</definedName>
    <definedName name="IType">'Construction - Do Not Delete'!$D$29:$D$31</definedName>
    <definedName name="LApproach">'Construction - Do Not Delete'!$F$29:$F$33</definedName>
    <definedName name="Lighting">'Construction - Do Not Delete'!$H$23:$H$24</definedName>
    <definedName name="Local">'Construction - Do Not Delete'!$L$17:$L$18</definedName>
    <definedName name="LWidth">'Construction - Do Not Delete'!$B$4:$B$10</definedName>
    <definedName name="MWidth">'Construction - Do Not Delete'!$D$37:$D$46</definedName>
    <definedName name="Not_Present">'Segment 2'!$I$22</definedName>
    <definedName name="PLane">'Construction - Do Not Delete'!$J$17:$J$18</definedName>
    <definedName name="PLane2">'Construction - Do Not Delete'!$J$17:$J$19</definedName>
    <definedName name="RApproach">'Construction - Do Not Delete'!$H$29:$H$33</definedName>
    <definedName name="Region">'Construction - Do Not Delete'!$H$4:$H$8</definedName>
    <definedName name="RHR">'Construction - Do Not Delete'!$F$4:$F$10</definedName>
    <definedName name="Shld2">'Construction - Do Not Delete'!$J$37:$J$47</definedName>
    <definedName name="SpEnforce">'Construction - Do Not Delete'!$J$23:$J$24</definedName>
    <definedName name="Spiral">'Construction - Do Not Delete'!$F$17:$F$18</definedName>
    <definedName name="Spiral2">'Construction - Do Not Delete'!$F$17:$F$19</definedName>
    <definedName name="SSlope">'Construction - Do Not Delete'!$H$37:$H$41</definedName>
    <definedName name="SType">'Construction - Do Not Delete'!$D$17:$D$20</definedName>
    <definedName name="SWidth">'Construction - Do Not Delete'!$D$4:$D$12</definedName>
    <definedName name="TWLTL">'Construction - Do Not Delete'!$F$23:$F$24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20" l="1"/>
  <c r="D28" i="20"/>
  <c r="D27" i="20"/>
  <c r="D26" i="20"/>
  <c r="D25" i="20"/>
  <c r="D24" i="20"/>
  <c r="D23" i="20"/>
  <c r="D22" i="20"/>
  <c r="D20" i="20"/>
  <c r="D19" i="20"/>
  <c r="D18" i="20"/>
  <c r="D17" i="20"/>
  <c r="D16" i="20"/>
  <c r="D15" i="20"/>
  <c r="D14" i="20"/>
  <c r="D13" i="20"/>
  <c r="G30" i="20"/>
  <c r="F30" i="20"/>
  <c r="E30" i="20"/>
  <c r="D30" i="20"/>
  <c r="N15" i="27" l="1"/>
  <c r="N14" i="27"/>
  <c r="N15" i="14"/>
  <c r="N14" i="14"/>
  <c r="N11" i="27" l="1"/>
  <c r="N10" i="27"/>
  <c r="N10" i="9"/>
  <c r="J29" i="20" l="1"/>
  <c r="J28" i="20"/>
  <c r="J27" i="20"/>
  <c r="J26" i="20"/>
  <c r="J25" i="20"/>
  <c r="J24" i="20"/>
  <c r="J20" i="20"/>
  <c r="J19" i="20"/>
  <c r="J18" i="20"/>
  <c r="J17" i="20"/>
  <c r="J16" i="20"/>
  <c r="D27" i="21" l="1"/>
  <c r="D26" i="21"/>
  <c r="D25" i="21"/>
  <c r="D24" i="21"/>
  <c r="J24" i="21" s="1"/>
  <c r="D23" i="21"/>
  <c r="D22" i="21"/>
  <c r="J22" i="21" s="1"/>
  <c r="D18" i="21"/>
  <c r="D17" i="21"/>
  <c r="I17" i="21" s="1"/>
  <c r="D16" i="21"/>
  <c r="I16" i="21" s="1"/>
  <c r="D15" i="21"/>
  <c r="D14" i="21"/>
  <c r="D13" i="21"/>
  <c r="J27" i="21"/>
  <c r="I27" i="21"/>
  <c r="J26" i="21"/>
  <c r="I26" i="21"/>
  <c r="J25" i="21"/>
  <c r="I25" i="21"/>
  <c r="I24" i="21"/>
  <c r="J23" i="21"/>
  <c r="I23" i="21"/>
  <c r="J18" i="21"/>
  <c r="I18" i="21"/>
  <c r="J17" i="21"/>
  <c r="J16" i="21"/>
  <c r="J15" i="21"/>
  <c r="I15" i="21"/>
  <c r="J14" i="21"/>
  <c r="I14" i="21"/>
  <c r="J13" i="21"/>
  <c r="I13" i="21"/>
  <c r="I22" i="21" l="1"/>
  <c r="U27" i="26"/>
  <c r="N20" i="26" s="1"/>
  <c r="I42" i="9"/>
  <c r="H42" i="9"/>
  <c r="G42" i="9"/>
  <c r="F42" i="9"/>
  <c r="N20" i="9"/>
  <c r="U27" i="9"/>
  <c r="I42" i="26"/>
  <c r="F42" i="26" l="1"/>
  <c r="A25" i="27" l="1"/>
  <c r="A25" i="14"/>
  <c r="J36" i="14"/>
  <c r="J35" i="14"/>
  <c r="J34" i="14"/>
  <c r="C34" i="14"/>
  <c r="J36" i="27"/>
  <c r="J35" i="27"/>
  <c r="J34" i="27"/>
  <c r="C34" i="27"/>
  <c r="K52" i="9"/>
  <c r="K51" i="9"/>
  <c r="K50" i="9"/>
  <c r="C50" i="9"/>
  <c r="K52" i="26"/>
  <c r="K51" i="26"/>
  <c r="K50" i="26"/>
  <c r="C50" i="26"/>
  <c r="U6" i="25" l="1"/>
  <c r="E34" i="14" s="1"/>
  <c r="H20" i="21" s="1"/>
  <c r="D50" i="26"/>
  <c r="H11" i="21" s="1"/>
  <c r="D50" i="9"/>
  <c r="H12" i="21" s="1"/>
  <c r="AH15" i="26"/>
  <c r="AF15" i="26"/>
  <c r="AG14" i="26"/>
  <c r="AG15" i="26" s="1"/>
  <c r="AH13" i="26"/>
  <c r="AF13" i="26"/>
  <c r="AG12" i="26"/>
  <c r="AH11" i="26"/>
  <c r="AF11" i="26"/>
  <c r="AG10" i="26"/>
  <c r="AG11" i="26" s="1"/>
  <c r="D6" i="27"/>
  <c r="D6" i="14"/>
  <c r="D6" i="9"/>
  <c r="D6" i="26"/>
  <c r="N9" i="27"/>
  <c r="N9" i="14"/>
  <c r="J86" i="26"/>
  <c r="J85" i="26"/>
  <c r="J84" i="26"/>
  <c r="J75" i="26"/>
  <c r="F75" i="26"/>
  <c r="C75" i="26"/>
  <c r="J74" i="26"/>
  <c r="F74" i="26"/>
  <c r="C74" i="26"/>
  <c r="J73" i="26"/>
  <c r="F73" i="26"/>
  <c r="C73" i="26"/>
  <c r="J72" i="26"/>
  <c r="F72" i="26"/>
  <c r="C72" i="26"/>
  <c r="J71" i="26"/>
  <c r="F71" i="26"/>
  <c r="C71" i="26"/>
  <c r="J68" i="26"/>
  <c r="F68" i="26"/>
  <c r="C68" i="26"/>
  <c r="J67" i="26"/>
  <c r="F67" i="26"/>
  <c r="C67" i="26"/>
  <c r="J66" i="26"/>
  <c r="F66" i="26"/>
  <c r="C66" i="26"/>
  <c r="J65" i="26"/>
  <c r="F65" i="26"/>
  <c r="C65" i="26"/>
  <c r="J64" i="26"/>
  <c r="F64" i="26"/>
  <c r="C64" i="26"/>
  <c r="J63" i="26"/>
  <c r="F63" i="26"/>
  <c r="C63" i="26"/>
  <c r="L42" i="26"/>
  <c r="K42" i="26"/>
  <c r="J42" i="26"/>
  <c r="H42" i="26"/>
  <c r="G42" i="26"/>
  <c r="E42" i="26"/>
  <c r="D42" i="26"/>
  <c r="AG34" i="26"/>
  <c r="AG33" i="26" s="1"/>
  <c r="AH33" i="26"/>
  <c r="AF33" i="26"/>
  <c r="AH31" i="26"/>
  <c r="AF31" i="26"/>
  <c r="AG30" i="26"/>
  <c r="AG31" i="26" s="1"/>
  <c r="AH29" i="26"/>
  <c r="AF29" i="26"/>
  <c r="AG28" i="26"/>
  <c r="AG29" i="26" s="1"/>
  <c r="AH27" i="26"/>
  <c r="AF27" i="26"/>
  <c r="AG26" i="26"/>
  <c r="U18" i="26"/>
  <c r="U16" i="26"/>
  <c r="U14" i="26"/>
  <c r="N10" i="26"/>
  <c r="AA7" i="26"/>
  <c r="U7" i="26"/>
  <c r="AA5" i="26"/>
  <c r="U5" i="26"/>
  <c r="A42" i="9"/>
  <c r="AG34" i="9"/>
  <c r="AG33" i="9" s="1"/>
  <c r="AG30" i="9"/>
  <c r="AG31" i="9" s="1"/>
  <c r="AG28" i="9"/>
  <c r="AG26" i="9"/>
  <c r="AG14" i="9"/>
  <c r="AG15" i="9" s="1"/>
  <c r="AG12" i="9"/>
  <c r="AG10" i="9"/>
  <c r="AA5" i="9"/>
  <c r="U5" i="9"/>
  <c r="AF11" i="9"/>
  <c r="AH11" i="9"/>
  <c r="AF13" i="9"/>
  <c r="AH13" i="9"/>
  <c r="AF15" i="9"/>
  <c r="AH15" i="9"/>
  <c r="AF27" i="9"/>
  <c r="AH27" i="9"/>
  <c r="AF29" i="9"/>
  <c r="AH29" i="9"/>
  <c r="AF31" i="9"/>
  <c r="AH31" i="9"/>
  <c r="AF33" i="9"/>
  <c r="AH33" i="9"/>
  <c r="AA7" i="9"/>
  <c r="U7" i="9"/>
  <c r="E11" i="27"/>
  <c r="E10" i="27"/>
  <c r="E11" i="14"/>
  <c r="N11" i="14" s="1"/>
  <c r="E10" i="14"/>
  <c r="N10" i="14" s="1"/>
  <c r="J61" i="27"/>
  <c r="F61" i="27"/>
  <c r="C61" i="27"/>
  <c r="J60" i="27"/>
  <c r="F60" i="27"/>
  <c r="C60" i="27"/>
  <c r="J59" i="27"/>
  <c r="F59" i="27"/>
  <c r="C59" i="27"/>
  <c r="J58" i="27"/>
  <c r="F58" i="27"/>
  <c r="C58" i="27"/>
  <c r="J57" i="27"/>
  <c r="F57" i="27"/>
  <c r="C57" i="27"/>
  <c r="J55" i="27"/>
  <c r="J54" i="27"/>
  <c r="F54" i="27"/>
  <c r="C54" i="27"/>
  <c r="J53" i="27"/>
  <c r="F53" i="27"/>
  <c r="C53" i="27"/>
  <c r="J52" i="27"/>
  <c r="F52" i="27"/>
  <c r="C52" i="27"/>
  <c r="J51" i="27"/>
  <c r="F51" i="27"/>
  <c r="C51" i="27"/>
  <c r="J50" i="27"/>
  <c r="F50" i="27"/>
  <c r="C50" i="27"/>
  <c r="J49" i="27"/>
  <c r="F49" i="27"/>
  <c r="C49" i="27"/>
  <c r="I25" i="27"/>
  <c r="F25" i="27"/>
  <c r="D25" i="27"/>
  <c r="U16" i="9"/>
  <c r="J75" i="9"/>
  <c r="J74" i="9"/>
  <c r="J73" i="9"/>
  <c r="J72" i="9"/>
  <c r="J71" i="9"/>
  <c r="F75" i="9"/>
  <c r="F74" i="9"/>
  <c r="F73" i="9"/>
  <c r="F72" i="9"/>
  <c r="F71" i="9"/>
  <c r="C75" i="9"/>
  <c r="C74" i="9"/>
  <c r="C73" i="9"/>
  <c r="C72" i="9"/>
  <c r="C71" i="9"/>
  <c r="J68" i="9"/>
  <c r="J67" i="9"/>
  <c r="J66" i="9"/>
  <c r="J65" i="9"/>
  <c r="J64" i="9"/>
  <c r="J63" i="9"/>
  <c r="F68" i="9"/>
  <c r="F67" i="9"/>
  <c r="F66" i="9"/>
  <c r="F65" i="9"/>
  <c r="F64" i="9"/>
  <c r="F63" i="9"/>
  <c r="C68" i="9"/>
  <c r="C67" i="9"/>
  <c r="C66" i="9"/>
  <c r="C65" i="9"/>
  <c r="C64" i="9"/>
  <c r="C63" i="9"/>
  <c r="K42" i="9"/>
  <c r="U18" i="9"/>
  <c r="U14" i="9"/>
  <c r="I25" i="14"/>
  <c r="E15" i="25"/>
  <c r="E16" i="25" s="1"/>
  <c r="G15" i="25"/>
  <c r="G16" i="25" s="1"/>
  <c r="G17" i="25" s="1"/>
  <c r="I15" i="25"/>
  <c r="I16" i="25" s="1"/>
  <c r="K15" i="25"/>
  <c r="K16" i="25" s="1"/>
  <c r="K17" i="25" s="1"/>
  <c r="M15" i="25"/>
  <c r="M16" i="25" s="1"/>
  <c r="O15" i="25"/>
  <c r="O16" i="25" s="1"/>
  <c r="E35" i="25"/>
  <c r="F35" i="25"/>
  <c r="G35" i="25"/>
  <c r="G43" i="25" s="1"/>
  <c r="H35" i="25"/>
  <c r="I35" i="25"/>
  <c r="J35" i="25"/>
  <c r="J43" i="25" s="1"/>
  <c r="K35" i="25"/>
  <c r="L35" i="25"/>
  <c r="M35" i="25"/>
  <c r="N35" i="25"/>
  <c r="O35" i="25"/>
  <c r="P35" i="25"/>
  <c r="C55" i="14" s="1"/>
  <c r="Q35" i="25"/>
  <c r="R35" i="25"/>
  <c r="S35" i="25"/>
  <c r="T35" i="25"/>
  <c r="U35" i="25"/>
  <c r="V35" i="25"/>
  <c r="E42" i="25"/>
  <c r="F42" i="25"/>
  <c r="F43" i="25" s="1"/>
  <c r="G42" i="25"/>
  <c r="H42" i="25"/>
  <c r="I42" i="25"/>
  <c r="I43" i="25" s="1"/>
  <c r="J42" i="25"/>
  <c r="K42" i="25"/>
  <c r="L42" i="25"/>
  <c r="M42" i="25"/>
  <c r="N42" i="25"/>
  <c r="O42" i="25"/>
  <c r="P42" i="25"/>
  <c r="C62" i="14" s="1"/>
  <c r="Q42" i="25"/>
  <c r="R42" i="25"/>
  <c r="S42" i="25"/>
  <c r="T42" i="25"/>
  <c r="U42" i="25"/>
  <c r="V42" i="25"/>
  <c r="K43" i="25"/>
  <c r="Y9" i="24"/>
  <c r="AA9" i="24"/>
  <c r="Y10" i="24"/>
  <c r="AA10" i="24"/>
  <c r="Y11" i="24"/>
  <c r="AA11" i="24"/>
  <c r="Y12" i="24"/>
  <c r="AA12" i="24"/>
  <c r="E13" i="24"/>
  <c r="F51" i="9" s="1"/>
  <c r="D85" i="9" s="1"/>
  <c r="H13" i="24"/>
  <c r="E31" i="24"/>
  <c r="F31" i="24"/>
  <c r="G31" i="24"/>
  <c r="I31" i="24"/>
  <c r="J31" i="24"/>
  <c r="K31" i="24"/>
  <c r="E38" i="24"/>
  <c r="E39" i="24" s="1"/>
  <c r="F38" i="24"/>
  <c r="G38" i="24"/>
  <c r="I38" i="24"/>
  <c r="J38" i="24"/>
  <c r="K38" i="24"/>
  <c r="I29" i="20"/>
  <c r="I28" i="20"/>
  <c r="I27" i="20"/>
  <c r="I26" i="20"/>
  <c r="I25" i="20"/>
  <c r="I24" i="20"/>
  <c r="I20" i="20"/>
  <c r="I19" i="20"/>
  <c r="I18" i="20"/>
  <c r="I17" i="20"/>
  <c r="I16" i="20"/>
  <c r="I15" i="20"/>
  <c r="J15" i="20" s="1"/>
  <c r="J61" i="14"/>
  <c r="F61" i="14"/>
  <c r="C61" i="14"/>
  <c r="J60" i="14"/>
  <c r="F60" i="14"/>
  <c r="C60" i="14"/>
  <c r="J59" i="14"/>
  <c r="F59" i="14"/>
  <c r="C59" i="14"/>
  <c r="J58" i="14"/>
  <c r="F58" i="14"/>
  <c r="C58" i="14"/>
  <c r="J57" i="14"/>
  <c r="F57" i="14"/>
  <c r="C57" i="14"/>
  <c r="J54" i="14"/>
  <c r="F54" i="14"/>
  <c r="C54" i="14"/>
  <c r="J53" i="14"/>
  <c r="F53" i="14"/>
  <c r="C53" i="14"/>
  <c r="J52" i="14"/>
  <c r="F52" i="14"/>
  <c r="C52" i="14"/>
  <c r="J51" i="14"/>
  <c r="F51" i="14"/>
  <c r="C51" i="14"/>
  <c r="J50" i="14"/>
  <c r="F50" i="14"/>
  <c r="C50" i="14"/>
  <c r="J49" i="14"/>
  <c r="F49" i="14"/>
  <c r="C49" i="14"/>
  <c r="J62" i="14"/>
  <c r="F55" i="14"/>
  <c r="F25" i="14"/>
  <c r="D25" i="14"/>
  <c r="J86" i="9"/>
  <c r="J85" i="9"/>
  <c r="J84" i="9"/>
  <c r="L42" i="9"/>
  <c r="J42" i="9"/>
  <c r="E42" i="9"/>
  <c r="D42" i="9"/>
  <c r="E14" i="24"/>
  <c r="U20" i="26"/>
  <c r="U22" i="26" s="1"/>
  <c r="C42" i="26" s="1"/>
  <c r="F36" i="27" l="1"/>
  <c r="E71" i="27" s="1"/>
  <c r="AG29" i="9"/>
  <c r="AG11" i="9"/>
  <c r="AG13" i="26"/>
  <c r="U20" i="9"/>
  <c r="U22" i="9" s="1"/>
  <c r="C42" i="9" s="1"/>
  <c r="G36" i="27"/>
  <c r="E34" i="27"/>
  <c r="F35" i="27"/>
  <c r="E70" i="27" s="1"/>
  <c r="J62" i="27"/>
  <c r="J55" i="14"/>
  <c r="F46" i="27"/>
  <c r="C62" i="27"/>
  <c r="F62" i="27"/>
  <c r="C55" i="27"/>
  <c r="H43" i="25"/>
  <c r="F62" i="14"/>
  <c r="F55" i="27"/>
  <c r="H14" i="20"/>
  <c r="F39" i="24"/>
  <c r="AG27" i="26"/>
  <c r="AG27" i="9"/>
  <c r="AG13" i="9"/>
  <c r="U9" i="9"/>
  <c r="AA9" i="9"/>
  <c r="V43" i="25"/>
  <c r="T43" i="25"/>
  <c r="S43" i="25"/>
  <c r="Q43" i="25"/>
  <c r="O43" i="25"/>
  <c r="J46" i="14" s="1"/>
  <c r="N43" i="25"/>
  <c r="U43" i="25"/>
  <c r="R43" i="25"/>
  <c r="P43" i="25"/>
  <c r="C46" i="14" s="1"/>
  <c r="O17" i="25"/>
  <c r="H22" i="20"/>
  <c r="H13" i="20"/>
  <c r="L25" i="27"/>
  <c r="I34" i="27" s="1"/>
  <c r="I39" i="24"/>
  <c r="J39" i="24"/>
  <c r="C76" i="9"/>
  <c r="H14" i="24"/>
  <c r="H15" i="24" s="1"/>
  <c r="F69" i="9"/>
  <c r="F69" i="26"/>
  <c r="C69" i="9"/>
  <c r="J69" i="9"/>
  <c r="F76" i="9"/>
  <c r="J76" i="9"/>
  <c r="C69" i="26"/>
  <c r="U9" i="26"/>
  <c r="AA9" i="26"/>
  <c r="J69" i="26"/>
  <c r="C76" i="26"/>
  <c r="F76" i="26"/>
  <c r="J76" i="26"/>
  <c r="L25" i="14"/>
  <c r="I35" i="14" s="1"/>
  <c r="E17" i="25"/>
  <c r="F34" i="14" s="1"/>
  <c r="E69" i="14" s="1"/>
  <c r="F36" i="14"/>
  <c r="E71" i="14" s="1"/>
  <c r="M17" i="25"/>
  <c r="F35" i="14"/>
  <c r="E70" i="14" s="1"/>
  <c r="M43" i="25"/>
  <c r="C46" i="27" s="1"/>
  <c r="E43" i="25"/>
  <c r="F46" i="14" s="1"/>
  <c r="I17" i="25"/>
  <c r="L43" i="25"/>
  <c r="J46" i="27" s="1"/>
  <c r="F51" i="26"/>
  <c r="E15" i="24"/>
  <c r="H51" i="9"/>
  <c r="H21" i="21" l="1"/>
  <c r="H23" i="20"/>
  <c r="G35" i="27"/>
  <c r="F34" i="27"/>
  <c r="E69" i="27" s="1"/>
  <c r="F52" i="9"/>
  <c r="D86" i="9" s="1"/>
  <c r="F52" i="26"/>
  <c r="B42" i="9"/>
  <c r="M42" i="9" s="1"/>
  <c r="J51" i="9" s="1"/>
  <c r="L51" i="9" s="1"/>
  <c r="I35" i="27"/>
  <c r="I36" i="27"/>
  <c r="L36" i="27" s="1"/>
  <c r="C60" i="26"/>
  <c r="F60" i="9"/>
  <c r="C60" i="9"/>
  <c r="F60" i="26"/>
  <c r="B42" i="26"/>
  <c r="I34" i="14"/>
  <c r="I36" i="14"/>
  <c r="G36" i="14"/>
  <c r="F50" i="9"/>
  <c r="F50" i="26"/>
  <c r="G34" i="14"/>
  <c r="H51" i="26"/>
  <c r="D85" i="26"/>
  <c r="G35" i="14"/>
  <c r="L35" i="14" s="1"/>
  <c r="L35" i="27" l="1"/>
  <c r="I70" i="27" s="1"/>
  <c r="G34" i="27"/>
  <c r="L34" i="27" s="1"/>
  <c r="D46" i="27" s="1"/>
  <c r="H52" i="9"/>
  <c r="D86" i="26"/>
  <c r="H52" i="26"/>
  <c r="J52" i="9"/>
  <c r="J50" i="9"/>
  <c r="L46" i="27"/>
  <c r="L58" i="27" s="1"/>
  <c r="I71" i="27"/>
  <c r="L36" i="14"/>
  <c r="L46" i="14" s="1"/>
  <c r="L34" i="14"/>
  <c r="I69" i="14" s="1"/>
  <c r="H63" i="9"/>
  <c r="H73" i="9"/>
  <c r="H65" i="9"/>
  <c r="H67" i="9"/>
  <c r="H72" i="9"/>
  <c r="H66" i="9"/>
  <c r="H71" i="9"/>
  <c r="G85" i="9"/>
  <c r="E14" i="20" s="1"/>
  <c r="H69" i="9"/>
  <c r="H68" i="9"/>
  <c r="H64" i="9"/>
  <c r="H76" i="9"/>
  <c r="H60" i="9"/>
  <c r="H74" i="9"/>
  <c r="H75" i="9"/>
  <c r="D84" i="26"/>
  <c r="H50" i="26"/>
  <c r="I70" i="14"/>
  <c r="E22" i="20" s="1"/>
  <c r="H46" i="14"/>
  <c r="D84" i="9"/>
  <c r="H50" i="9"/>
  <c r="F21" i="21" l="1"/>
  <c r="F23" i="20"/>
  <c r="E21" i="21"/>
  <c r="E23" i="20"/>
  <c r="H46" i="27"/>
  <c r="H54" i="27" s="1"/>
  <c r="I69" i="27"/>
  <c r="D21" i="21" s="1"/>
  <c r="I21" i="21" s="1"/>
  <c r="L52" i="9"/>
  <c r="L75" i="9" s="1"/>
  <c r="L50" i="9"/>
  <c r="D76" i="9" s="1"/>
  <c r="L57" i="27"/>
  <c r="L54" i="27"/>
  <c r="L52" i="27"/>
  <c r="L55" i="27"/>
  <c r="L50" i="27"/>
  <c r="L62" i="27"/>
  <c r="L53" i="27"/>
  <c r="L59" i="27"/>
  <c r="L51" i="27"/>
  <c r="L61" i="27"/>
  <c r="I71" i="14"/>
  <c r="F22" i="20" s="1"/>
  <c r="L60" i="27"/>
  <c r="L49" i="27"/>
  <c r="D46" i="14"/>
  <c r="D62" i="14" s="1"/>
  <c r="D20" i="21"/>
  <c r="E20" i="21"/>
  <c r="L57" i="14"/>
  <c r="L55" i="14"/>
  <c r="L62" i="14"/>
  <c r="L58" i="14"/>
  <c r="L49" i="14"/>
  <c r="L59" i="14"/>
  <c r="L52" i="14"/>
  <c r="L53" i="14"/>
  <c r="L54" i="14"/>
  <c r="L50" i="14"/>
  <c r="L51" i="14"/>
  <c r="L60" i="14"/>
  <c r="L61" i="14"/>
  <c r="E12" i="21"/>
  <c r="L85" i="9"/>
  <c r="D49" i="27"/>
  <c r="D57" i="27"/>
  <c r="D59" i="27"/>
  <c r="D54" i="27"/>
  <c r="D58" i="27"/>
  <c r="D60" i="27"/>
  <c r="D50" i="27"/>
  <c r="D53" i="27"/>
  <c r="D51" i="27"/>
  <c r="D52" i="27"/>
  <c r="D61" i="27"/>
  <c r="D55" i="27"/>
  <c r="D62" i="27"/>
  <c r="H59" i="14"/>
  <c r="H62" i="14"/>
  <c r="H55" i="14"/>
  <c r="H49" i="14"/>
  <c r="H57" i="14"/>
  <c r="H51" i="14"/>
  <c r="H54" i="14"/>
  <c r="H50" i="14"/>
  <c r="H58" i="14"/>
  <c r="H52" i="14"/>
  <c r="H61" i="14"/>
  <c r="H60" i="14"/>
  <c r="H53" i="14"/>
  <c r="I23" i="20" l="1"/>
  <c r="J23" i="20" s="1"/>
  <c r="I22" i="20"/>
  <c r="J22" i="20" s="1"/>
  <c r="H53" i="27"/>
  <c r="H49" i="27"/>
  <c r="H59" i="27"/>
  <c r="H60" i="27"/>
  <c r="H57" i="27"/>
  <c r="H50" i="27"/>
  <c r="H52" i="27"/>
  <c r="H62" i="27"/>
  <c r="H58" i="27"/>
  <c r="H55" i="27"/>
  <c r="H51" i="27"/>
  <c r="H61" i="27"/>
  <c r="J21" i="21"/>
  <c r="D72" i="9"/>
  <c r="G84" i="9"/>
  <c r="L84" i="9" s="1"/>
  <c r="D63" i="9"/>
  <c r="D75" i="9"/>
  <c r="D66" i="9"/>
  <c r="D74" i="9"/>
  <c r="D67" i="9"/>
  <c r="D71" i="9"/>
  <c r="L60" i="9"/>
  <c r="L66" i="9"/>
  <c r="L65" i="9"/>
  <c r="L69" i="9"/>
  <c r="L64" i="9"/>
  <c r="L72" i="9"/>
  <c r="L63" i="9"/>
  <c r="L67" i="9"/>
  <c r="L74" i="9"/>
  <c r="L71" i="9"/>
  <c r="G86" i="9"/>
  <c r="L68" i="9"/>
  <c r="L73" i="9"/>
  <c r="D60" i="9"/>
  <c r="D68" i="9"/>
  <c r="D73" i="9"/>
  <c r="D69" i="9"/>
  <c r="D64" i="9"/>
  <c r="D65" i="9"/>
  <c r="F20" i="21"/>
  <c r="D60" i="14"/>
  <c r="D55" i="14"/>
  <c r="D57" i="14"/>
  <c r="D49" i="14"/>
  <c r="D52" i="14"/>
  <c r="D53" i="14"/>
  <c r="D51" i="14"/>
  <c r="D61" i="14"/>
  <c r="D58" i="14"/>
  <c r="D50" i="14"/>
  <c r="D59" i="14"/>
  <c r="D54" i="14"/>
  <c r="I20" i="21"/>
  <c r="J20" i="21"/>
  <c r="F14" i="20" l="1"/>
  <c r="I14" i="20" s="1"/>
  <c r="J14" i="20" s="1"/>
  <c r="F12" i="21"/>
  <c r="D12" i="21" s="1"/>
  <c r="J12" i="21" s="1"/>
  <c r="L76" i="9"/>
  <c r="L86" i="9"/>
  <c r="I12" i="21" l="1"/>
  <c r="A42" i="26" l="1"/>
  <c r="M42" i="26" s="1"/>
  <c r="J52" i="26" l="1"/>
  <c r="L52" i="26" s="1"/>
  <c r="J50" i="26"/>
  <c r="L50" i="26" s="1"/>
  <c r="J51" i="26"/>
  <c r="L51" i="26" s="1"/>
  <c r="D63" i="26" l="1"/>
  <c r="D71" i="26"/>
  <c r="D75" i="26"/>
  <c r="D69" i="26"/>
  <c r="D60" i="26"/>
  <c r="D68" i="26"/>
  <c r="D73" i="26"/>
  <c r="D67" i="26"/>
  <c r="D65" i="26"/>
  <c r="D72" i="26"/>
  <c r="D66" i="26"/>
  <c r="D74" i="26"/>
  <c r="D64" i="26"/>
  <c r="G84" i="26"/>
  <c r="D76" i="26"/>
  <c r="L69" i="26"/>
  <c r="L67" i="26"/>
  <c r="L71" i="26"/>
  <c r="L72" i="26"/>
  <c r="L73" i="26"/>
  <c r="L64" i="26"/>
  <c r="L74" i="26"/>
  <c r="L63" i="26"/>
  <c r="L66" i="26"/>
  <c r="L60" i="26"/>
  <c r="L68" i="26"/>
  <c r="L65" i="26"/>
  <c r="G86" i="26"/>
  <c r="L75" i="26"/>
  <c r="H64" i="26"/>
  <c r="H73" i="26"/>
  <c r="H68" i="26"/>
  <c r="H63" i="26"/>
  <c r="H67" i="26"/>
  <c r="H76" i="26"/>
  <c r="H71" i="26"/>
  <c r="H69" i="26"/>
  <c r="H60" i="26"/>
  <c r="G85" i="26"/>
  <c r="E13" i="20" s="1"/>
  <c r="H65" i="26"/>
  <c r="H72" i="26"/>
  <c r="H74" i="26"/>
  <c r="H75" i="26"/>
  <c r="H66" i="26"/>
  <c r="F13" i="20" l="1"/>
  <c r="F11" i="21"/>
  <c r="L76" i="26"/>
  <c r="E11" i="21"/>
  <c r="E41" i="20"/>
  <c r="L85" i="26"/>
  <c r="L84" i="26"/>
  <c r="L86" i="26"/>
  <c r="F28" i="21"/>
  <c r="E43" i="21" s="1"/>
  <c r="E28" i="21" l="1"/>
  <c r="E41" i="21" s="1"/>
  <c r="D11" i="21"/>
  <c r="D28" i="21" s="1"/>
  <c r="E39" i="21" s="1"/>
  <c r="E43" i="20"/>
  <c r="J11" i="21"/>
  <c r="J28" i="21" s="1"/>
  <c r="I11" i="21"/>
  <c r="I28" i="21" s="1"/>
  <c r="E39" i="20"/>
  <c r="I13" i="20"/>
  <c r="J13" i="20" l="1"/>
  <c r="J30" i="20" s="1"/>
  <c r="M28" i="21"/>
  <c r="N28" i="21" s="1"/>
  <c r="K28" i="21"/>
  <c r="L28" i="21" s="1"/>
  <c r="H43" i="20" l="1"/>
  <c r="H41" i="20"/>
  <c r="H39" i="20"/>
  <c r="O28" i="21"/>
  <c r="H43" i="21" s="1"/>
  <c r="H41" i="21" l="1"/>
  <c r="H39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Pratt, Mike</author>
  </authors>
  <commentList>
    <comment ref="K54" authorId="0" shapeId="0" xr:uid="{3F3BD6BA-D9CC-43BB-8F05-1C828F2E3E46}">
      <text>
        <r>
          <rPr>
            <sz val="9"/>
            <color indexed="81"/>
            <rFont val="Tahoma"/>
            <family val="2"/>
          </rPr>
          <t>This is an example comment.  Some of the cells in the worksheets contain comments like this one.  Put the mouse cursor on the red rectangle to view the comments.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Pratt, Mike</author>
  </authors>
  <commentList>
    <comment ref="A10" authorId="0" shapeId="0" xr:uid="{EB254C2D-840C-4E45-928C-3B266F9B6EEC}">
      <text>
        <r>
          <rPr>
            <sz val="9"/>
            <color indexed="81"/>
            <rFont val="Tahoma"/>
            <family val="2"/>
          </rPr>
          <t>Texas AADT data are available from the TxDOT Statewide Planning Map:
https://www.txdot.gov/apps/statewide_mapping/StatewidePlanningMap.html
Click the link to the right to access the site.</t>
        </r>
      </text>
    </comment>
    <comment ref="A12" authorId="0" shapeId="0" xr:uid="{5B0A7AB5-175E-482E-8A89-10DB86B16621}">
      <text>
        <r>
          <rPr>
            <sz val="9"/>
            <color indexed="81"/>
            <rFont val="Tahoma"/>
            <family val="2"/>
          </rPr>
          <t>If the lane width is greater than 12, input 12.  If the lane width is less than 9, input 9.</t>
        </r>
      </text>
    </comment>
    <comment ref="A13" authorId="0" shapeId="0" xr:uid="{51CF1A93-3D86-4DF5-88C2-372D12E498F2}">
      <text>
        <r>
          <rPr>
            <sz val="9"/>
            <color indexed="81"/>
            <rFont val="Tahoma"/>
            <family val="2"/>
          </rPr>
          <t>If the shoulder width is greater than 8, input 8.</t>
        </r>
      </text>
    </comment>
    <comment ref="A24" authorId="0" shapeId="0" xr:uid="{E50A33D5-FD82-439E-B5FE-0D5E2DB36218}">
      <text>
        <r>
          <rPr>
            <sz val="9"/>
            <color indexed="81"/>
            <rFont val="Tahoma"/>
            <family val="2"/>
          </rPr>
          <t xml:space="preserve">The roadside hazard rating scale was developed by Zegeer et al. and is described by Harwood et al. in Appendix D of Report FHWA-RD-99-207, </t>
        </r>
        <r>
          <rPr>
            <u/>
            <sz val="9"/>
            <color indexed="81"/>
            <rFont val="Tahoma"/>
            <family val="2"/>
          </rPr>
          <t>Prediction of the Expected Safety Performance of Rural Two-Lane Highways</t>
        </r>
        <r>
          <rPr>
            <sz val="9"/>
            <color indexed="81"/>
            <rFont val="Tahoma"/>
            <family val="2"/>
          </rPr>
          <t>:
https://www.fhwa.dot.gov/publications/research/safety/99207/99207.pdf
Click the link to the right to access the document.</t>
        </r>
      </text>
    </comment>
    <comment ref="A27" authorId="0" shapeId="0" xr:uid="{E71E2FFD-A036-442E-BC7D-9DAE03789DAC}">
      <text>
        <r>
          <rPr>
            <sz val="9"/>
            <color indexed="81"/>
            <rFont val="Tahoma"/>
            <family val="2"/>
          </rPr>
          <t>The models in this worksheet were calibrated using Texas data in TxDOT Research Project 0-7083.  This value should be set to 1.0 unless an additional data analysis is conducted to capture temporal trends in the years following the completion of that project.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Pratt, Mike</author>
  </authors>
  <commentList>
    <comment ref="A10" authorId="0" shapeId="0" xr:uid="{8E3060CF-4860-4606-9AA4-A9CB689C0C49}">
      <text>
        <r>
          <rPr>
            <sz val="9"/>
            <color indexed="81"/>
            <rFont val="Tahoma"/>
            <family val="2"/>
          </rPr>
          <t>Texas AADT data are available from the TxDOT Statewide Planning Map:
https://www.txdot.gov/apps/statewide_mapping/StatewidePlanningMap.html
Click the link to the right to access the site.</t>
        </r>
      </text>
    </comment>
    <comment ref="A12" authorId="0" shapeId="0" xr:uid="{83D21FAB-913F-4299-BE5B-43E6196B260C}">
      <text>
        <r>
          <rPr>
            <sz val="9"/>
            <color indexed="81"/>
            <rFont val="Tahoma"/>
            <family val="2"/>
          </rPr>
          <t>If the lane width is greater than 12, input 12.  If the lane width is less than 9, input 9.</t>
        </r>
      </text>
    </comment>
    <comment ref="A13" authorId="0" shapeId="0" xr:uid="{CCF93206-8B9B-41AE-88E4-F024C7EA41FF}">
      <text>
        <r>
          <rPr>
            <sz val="9"/>
            <color indexed="81"/>
            <rFont val="Tahoma"/>
            <family val="2"/>
          </rPr>
          <t>If the shoulder width is greater than 8, input 8.</t>
        </r>
      </text>
    </comment>
    <comment ref="A24" authorId="0" shapeId="0" xr:uid="{53FC6FD2-93A5-4BA7-9D80-6BC36C52A24B}">
      <text>
        <r>
          <rPr>
            <sz val="9"/>
            <color indexed="81"/>
            <rFont val="Tahoma"/>
            <family val="2"/>
          </rPr>
          <t xml:space="preserve">The roadside hazard rating scale was developed by Zegeer et al. and is described by Harwood et al. in Appendix D of Report FHWA-RD-99-207, </t>
        </r>
        <r>
          <rPr>
            <u/>
            <sz val="9"/>
            <color indexed="81"/>
            <rFont val="Tahoma"/>
            <family val="2"/>
          </rPr>
          <t>Prediction of the Expected Safety Performance of Rural Two-Lane Highways</t>
        </r>
        <r>
          <rPr>
            <sz val="9"/>
            <color indexed="81"/>
            <rFont val="Tahoma"/>
            <family val="2"/>
          </rPr>
          <t>:
https://www.fhwa.dot.gov/publications/research/safety/99207/99207.pdf
Click the link to the right to access the document.</t>
        </r>
      </text>
    </comment>
    <comment ref="A27" authorId="0" shapeId="0" xr:uid="{44EE8E29-9CBC-4A27-82D3-D7B632C1130A}">
      <text>
        <r>
          <rPr>
            <sz val="9"/>
            <color indexed="81"/>
            <rFont val="Tahoma"/>
            <family val="2"/>
          </rPr>
          <t>The models in this worksheet were calibrated using Texas data in TxDOT Research Project 0-7083.  This value should be set to 1.0 unless an additional data analysis is conducted to capture temporal trends in the years following the completion of that project.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Pratt, Mike</author>
  </authors>
  <commentList>
    <comment ref="L7" authorId="0" shapeId="0" xr:uid="{58F5DC1B-ACA7-4CCD-B6F6-AD4C0A0C52D9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  <comment ref="B8" authorId="0" shapeId="0" xr:uid="{B4638FD9-223D-427A-87A5-4A9B8AC934E9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  <comment ref="B23" authorId="0" shapeId="0" xr:uid="{F29D689C-8C43-4ECA-A15E-75D709972937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  <comment ref="C45" authorId="0" shapeId="0" xr:uid="{B173AA92-0CDF-4031-A771-395C04DD8317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Pratt, Mike</author>
  </authors>
  <commentList>
    <comment ref="A10" authorId="0" shapeId="0" xr:uid="{B5F5274F-0F29-49BA-BB2A-FAD000799F5C}">
      <text>
        <r>
          <rPr>
            <sz val="9"/>
            <color indexed="81"/>
            <rFont val="Tahoma"/>
            <family val="2"/>
          </rPr>
          <t>Texas AADT data are available from the TxDOT Statewide Planning Map:
https://www.txdot.gov/apps/statewide_mapping/StatewidePlanningMap.html
Click the link to the right to access the site.</t>
        </r>
      </text>
    </comment>
    <comment ref="A13" authorId="0" shapeId="0" xr:uid="{E1EE49FE-8BED-4D02-9E1D-D601D8DD95EF}">
      <text>
        <r>
          <rPr>
            <sz val="9"/>
            <color indexed="81"/>
            <rFont val="Tahoma"/>
            <family val="2"/>
          </rPr>
          <t>Intersection skew angle is defined as the absolute value of the deviation from an intersection angle of 90 degrees.  See diagram to the right.</t>
        </r>
      </text>
    </comment>
    <comment ref="A14" authorId="0" shapeId="0" xr:uid="{1BA8498A-57C8-4A1E-8560-BD7FCE31A31B}">
      <text>
        <r>
          <rPr>
            <sz val="9"/>
            <color indexed="81"/>
            <rFont val="Tahoma"/>
            <family val="2"/>
          </rPr>
          <t>For a 3-leg intersection, use a maximum value of 3.</t>
        </r>
      </text>
    </comment>
    <comment ref="A15" authorId="0" shapeId="0" xr:uid="{291E77CA-29C4-4A55-AEBD-234CDEDB8DD3}">
      <text>
        <r>
          <rPr>
            <sz val="9"/>
            <color indexed="81"/>
            <rFont val="Tahoma"/>
            <family val="2"/>
          </rPr>
          <t>For a 3-leg intersection, use a maximum value of 3.</t>
        </r>
      </text>
    </comment>
    <comment ref="A17" authorId="0" shapeId="0" xr:uid="{38BFED46-E713-4E39-BC0F-46E51FFAC5D0}">
      <text>
        <r>
          <rPr>
            <sz val="9"/>
            <color indexed="81"/>
            <rFont val="Tahoma"/>
            <family val="2"/>
          </rPr>
          <t>The models in this worksheet were calibrated using Texas data in TxDOT Research Project 0-7083.  This value should be set to 1.0 unless an additional data analysis is conducted to capture temporal trends in the years following the completion of that project.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Pratt, Mike</author>
  </authors>
  <commentList>
    <comment ref="A10" authorId="0" shapeId="0" xr:uid="{F399A53D-0E4D-45D0-BE24-9EF2149789B2}">
      <text>
        <r>
          <rPr>
            <sz val="9"/>
            <color indexed="81"/>
            <rFont val="Tahoma"/>
            <family val="2"/>
          </rPr>
          <t>Texas AADT data are available from the TxDOT Statewide Planning Map:
https://www.txdot.gov/apps/statewide_mapping/StatewidePlanningMap.html
Click the link to the right to access the site.</t>
        </r>
      </text>
    </comment>
    <comment ref="A13" authorId="0" shapeId="0" xr:uid="{D7261DD8-C005-4ED3-9CE9-F6437FFC3322}">
      <text>
        <r>
          <rPr>
            <sz val="9"/>
            <color indexed="81"/>
            <rFont val="Tahoma"/>
            <family val="2"/>
          </rPr>
          <t>Intersection skew angle is defined as the absolute value of the deviation from an intersection angle of 90 degrees.  See diagram to the right.</t>
        </r>
      </text>
    </comment>
    <comment ref="A14" authorId="0" shapeId="0" xr:uid="{B7941C70-0A83-4290-B990-43722AD2BFC2}">
      <text>
        <r>
          <rPr>
            <sz val="9"/>
            <color indexed="81"/>
            <rFont val="Tahoma"/>
            <family val="2"/>
          </rPr>
          <t>For a 3-leg intersection, use a maximum value of 3.</t>
        </r>
      </text>
    </comment>
    <comment ref="A15" authorId="0" shapeId="0" xr:uid="{CE40F8FB-23D9-47E0-9121-F9711C5FD8F7}">
      <text>
        <r>
          <rPr>
            <sz val="9"/>
            <color indexed="81"/>
            <rFont val="Tahoma"/>
            <family val="2"/>
          </rPr>
          <t>For a 3-leg intersection, use a maximum value of 3.</t>
        </r>
      </text>
    </comment>
    <comment ref="A17" authorId="0" shapeId="0" xr:uid="{F93E682D-EDBD-422A-9050-2622AF48E75B}">
      <text>
        <r>
          <rPr>
            <sz val="9"/>
            <color indexed="81"/>
            <rFont val="Tahoma"/>
            <family val="2"/>
          </rPr>
          <t>The models in this worksheet were calibrated using Texas data in TxDOT Research Project 0-7083.  This value should be set to 1.0 unless an additional data analysis is conducted to capture temporal trends in the years following the completion of that project.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Pratt, Mike</author>
  </authors>
  <commentList>
    <comment ref="R6" authorId="0" shapeId="0" xr:uid="{0D505CD6-88A6-4324-8F8D-E984E7519902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  <comment ref="B10" authorId="0" shapeId="0" xr:uid="{2830C418-B1D5-4841-BF07-909E6751792C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  <comment ref="B27" authorId="0" shapeId="0" xr:uid="{49CA2B6D-6B1C-499B-A602-19028A697F79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  <comment ref="B49" authorId="0" shapeId="0" xr:uid="{8069E8A4-D7FD-4516-A0C7-6A4B492C305B}">
      <text>
        <r>
          <rPr>
            <sz val="9"/>
            <color indexed="81"/>
            <rFont val="Tahoma"/>
            <family val="2"/>
          </rPr>
          <t>Select "Yes" to use values derived from an analysis of local crash data.  Select "No" to use unadjusted values from the Highway Safety Manual.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Pratt, Mike</author>
  </authors>
  <commentList>
    <comment ref="G9" authorId="0" shapeId="0" xr:uid="{F123B97A-12FA-409A-B7B5-721E86830F0E}">
      <text>
        <r>
          <rPr>
            <sz val="9"/>
            <color indexed="81"/>
            <rFont val="Tahoma"/>
            <family val="2"/>
          </rPr>
          <t>Enter a value for every segment and intersection to apply the empirical Bayes method.  Leave this entire column blank to tabulate crash frequencies without applying the empirical Bayes method.</t>
        </r>
      </text>
    </comment>
  </commentList>
</comments>
</file>

<file path=xl/sharedStrings.xml><?xml version="1.0" encoding="utf-8"?>
<sst xmlns="http://schemas.openxmlformats.org/spreadsheetml/2006/main" count="1560" uniqueCount="594">
  <si>
    <t>Worksheet 1A -- General Information and Input Data for Rural Two-Lane Two-Way Roadway Segments</t>
  </si>
  <si>
    <t>General Information</t>
  </si>
  <si>
    <t>Analyst</t>
  </si>
  <si>
    <t>Agency or Company</t>
  </si>
  <si>
    <t>Date Performed</t>
  </si>
  <si>
    <t>Input Data</t>
  </si>
  <si>
    <t>Length of segment, L (mi)</t>
  </si>
  <si>
    <t>AADT (veh/day)</t>
  </si>
  <si>
    <t>Lane width (ft)</t>
  </si>
  <si>
    <t>Shoulder width (ft)</t>
  </si>
  <si>
    <t>Shoulder type</t>
  </si>
  <si>
    <t>Length of horizontal curve (mi)</t>
  </si>
  <si>
    <t>Radius of curvature (ft)</t>
  </si>
  <si>
    <t>Spiral transition curve (present/not present)</t>
  </si>
  <si>
    <t>Superelevation variance (ft/ft)</t>
  </si>
  <si>
    <t>Grade (%)</t>
  </si>
  <si>
    <t>Centerline rumble strips (present/not present)</t>
  </si>
  <si>
    <t>Two-way left-turn lane (present/not present)</t>
  </si>
  <si>
    <t>Segment lighting (present/not present)</t>
  </si>
  <si>
    <t>Location Information</t>
  </si>
  <si>
    <t>Roadway</t>
  </si>
  <si>
    <t>Roadway Section</t>
  </si>
  <si>
    <t>Jurisdiction</t>
  </si>
  <si>
    <t>Analysis Year</t>
  </si>
  <si>
    <t>Base Conditions</t>
  </si>
  <si>
    <t>--</t>
  </si>
  <si>
    <t>Site Conditions</t>
  </si>
  <si>
    <t>Worksheet 1B -- Crash Modification Factors for Rural Two-Lane Two-Way Roadway Segments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</si>
  <si>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</si>
  <si>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</si>
  <si>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</si>
  <si>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</si>
  <si>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</si>
  <si>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</si>
  <si>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</si>
  <si>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</si>
  <si>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</si>
  <si>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</si>
  <si>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</si>
  <si>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</si>
  <si>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</si>
  <si>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CMF for Lane Width</t>
  </si>
  <si>
    <t>CMF for Shoulder Width and Type</t>
  </si>
  <si>
    <t>CMF for Horizontal Curves</t>
  </si>
  <si>
    <t>CMF for Grades</t>
  </si>
  <si>
    <t>CMF for Driveway Density</t>
  </si>
  <si>
    <t>CMF for Centerline Rumble Strips</t>
  </si>
  <si>
    <t>CMF for Passing Lanes</t>
  </si>
  <si>
    <t>CMF for Two-Way Left-Turn Lane</t>
  </si>
  <si>
    <t>CMF for Roadside Design</t>
  </si>
  <si>
    <t>CMF for Lighting</t>
  </si>
  <si>
    <t>CMF for Automated Speed Enforcement</t>
  </si>
  <si>
    <t>CMF 1r</t>
  </si>
  <si>
    <t>CMF 2r</t>
  </si>
  <si>
    <t>CMF 3r</t>
  </si>
  <si>
    <t>CMF 4r</t>
  </si>
  <si>
    <t>CMR 5r</t>
  </si>
  <si>
    <t>CMF 6r</t>
  </si>
  <si>
    <t>CMF 7r</t>
  </si>
  <si>
    <t>CMF 9r</t>
  </si>
  <si>
    <t>CMF 8r</t>
  </si>
  <si>
    <t>CMF 10r</t>
  </si>
  <si>
    <t>CMF 11r</t>
  </si>
  <si>
    <t>CMF 12r</t>
  </si>
  <si>
    <t>CMF comb</t>
  </si>
  <si>
    <t>from Equation 10-11</t>
  </si>
  <si>
    <t>from Equation 10-12</t>
  </si>
  <si>
    <t>from Equation 10-13</t>
  </si>
  <si>
    <t>from Equations 10-14, 10-15, or 10-16</t>
  </si>
  <si>
    <t>from Equation 10-17</t>
  </si>
  <si>
    <t>from Section 10.7.1</t>
  </si>
  <si>
    <t>from Equation 10-20</t>
  </si>
  <si>
    <t>from Equation 10-21</t>
  </si>
  <si>
    <t>(1)x(2)x … x(11)x(12)</t>
  </si>
  <si>
    <t>Worksheet 1C -- Roadway Segment Crashes for Rural Two-Lane Two-Way Roadway Segments</t>
  </si>
  <si>
    <t>Crash Severity Level</t>
  </si>
  <si>
    <t>N spf rs</t>
  </si>
  <si>
    <t>Overdispersion Parameter, k</t>
  </si>
  <si>
    <t>Crash Severity Distribution</t>
  </si>
  <si>
    <t>N spf rs by Severity Distribution</t>
  </si>
  <si>
    <t>Combined CMFs</t>
  </si>
  <si>
    <t xml:space="preserve">  from Equation 10-7</t>
  </si>
  <si>
    <r>
      <t>(2)</t>
    </r>
    <r>
      <rPr>
        <sz val="8"/>
        <rFont val="Arial"/>
        <family val="2"/>
      </rPr>
      <t>TOTAL</t>
    </r>
    <r>
      <rPr>
        <sz val="10"/>
        <rFont val="Arial"/>
        <family val="2"/>
      </rPr>
      <t xml:space="preserve"> x (4)</t>
    </r>
  </si>
  <si>
    <t>(13) from Worksheet 1B</t>
  </si>
  <si>
    <t>(5)x(6)x(7)</t>
  </si>
  <si>
    <t>Total</t>
  </si>
  <si>
    <t>Fatal and Injury (FI)</t>
  </si>
  <si>
    <t>Property Damage Only (PDO)</t>
  </si>
  <si>
    <t>Worksheet 1D -- Crashes by Severity Level and Collision Type for Rural Two-Lane Two-Way Roadway Segments</t>
  </si>
  <si>
    <t>Collision Type</t>
  </si>
  <si>
    <r>
      <t xml:space="preserve">N </t>
    </r>
    <r>
      <rPr>
        <b/>
        <i/>
        <sz val="6"/>
        <rFont val="Arial"/>
        <family val="2"/>
      </rPr>
      <t>predicted rs</t>
    </r>
    <r>
      <rPr>
        <b/>
        <sz val="6"/>
        <rFont val="Arial"/>
        <family val="2"/>
      </rPr>
      <t xml:space="preserve"> (TOTAL)</t>
    </r>
    <r>
      <rPr>
        <b/>
        <sz val="10"/>
        <rFont val="Arial"/>
        <family val="2"/>
      </rPr>
      <t xml:space="preserve"> (crashes/year)</t>
    </r>
  </si>
  <si>
    <r>
      <t>Proportion of Collision Type</t>
    </r>
    <r>
      <rPr>
        <b/>
        <sz val="6"/>
        <rFont val="Arial"/>
        <family val="2"/>
      </rPr>
      <t>(FI)</t>
    </r>
  </si>
  <si>
    <r>
      <t xml:space="preserve">N </t>
    </r>
    <r>
      <rPr>
        <b/>
        <i/>
        <sz val="6"/>
        <rFont val="Arial"/>
        <family val="2"/>
      </rPr>
      <t>predicted rs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</si>
  <si>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r>
      <t>Proportion of Collision Type</t>
    </r>
    <r>
      <rPr>
        <b/>
        <sz val="6"/>
        <rFont val="Arial"/>
        <family val="2"/>
      </rPr>
      <t>(TOTAL)</t>
    </r>
  </si>
  <si>
    <r>
      <t>Proportion of Collision Type</t>
    </r>
    <r>
      <rPr>
        <b/>
        <sz val="6"/>
        <rFont val="Arial"/>
        <family val="2"/>
      </rPr>
      <t>(PDO)</t>
    </r>
  </si>
  <si>
    <r>
      <t xml:space="preserve">N </t>
    </r>
    <r>
      <rPr>
        <b/>
        <i/>
        <sz val="6"/>
        <rFont val="Arial"/>
        <family val="2"/>
      </rPr>
      <t>predicted rs</t>
    </r>
    <r>
      <rPr>
        <b/>
        <sz val="6"/>
        <rFont val="Arial"/>
        <family val="2"/>
      </rPr>
      <t xml:space="preserve"> (PDO)</t>
    </r>
    <r>
      <rPr>
        <b/>
        <sz val="10"/>
        <rFont val="Arial"/>
        <family val="2"/>
      </rPr>
      <t xml:space="preserve"> (crashes/year)</t>
    </r>
  </si>
  <si>
    <r>
      <t>(8)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1C</t>
    </r>
  </si>
  <si>
    <r>
      <t>(8)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1C</t>
    </r>
  </si>
  <si>
    <r>
      <t>(8)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1C</t>
    </r>
  </si>
  <si>
    <r>
      <t>(2)x(3)</t>
    </r>
    <r>
      <rPr>
        <sz val="6"/>
        <rFont val="Arial"/>
        <family val="2"/>
      </rPr>
      <t>TOTAL</t>
    </r>
  </si>
  <si>
    <r>
      <t>(4)x(5)</t>
    </r>
    <r>
      <rPr>
        <sz val="6"/>
        <rFont val="Arial"/>
        <family val="2"/>
      </rPr>
      <t>FI</t>
    </r>
  </si>
  <si>
    <r>
      <t>(6)x(7)</t>
    </r>
    <r>
      <rPr>
        <sz val="6"/>
        <rFont val="Arial"/>
        <family val="2"/>
      </rPr>
      <t>PDO</t>
    </r>
  </si>
  <si>
    <t>SINGLE-VEHICLE</t>
  </si>
  <si>
    <t>Collision with animal</t>
  </si>
  <si>
    <t>Collision with bicycle</t>
  </si>
  <si>
    <t>Collision with pedestrian</t>
  </si>
  <si>
    <t>Overturned</t>
  </si>
  <si>
    <t>Ran off road</t>
  </si>
  <si>
    <t>Other single-vehicle collision</t>
  </si>
  <si>
    <t>Total single-vehicle crashes</t>
  </si>
  <si>
    <t>MULTIPLE-VEHICLE</t>
  </si>
  <si>
    <t>Angle collision</t>
  </si>
  <si>
    <t>Head-on collision</t>
  </si>
  <si>
    <t>Rear-end collision</t>
  </si>
  <si>
    <t>Sideswipe collision</t>
  </si>
  <si>
    <t>Other multiple-vehicle collision</t>
  </si>
  <si>
    <t>Worksheet 1E -- Summary Results for Rural Two-Lane Two-Way Roadway Segments</t>
  </si>
  <si>
    <t>Crash severity level</t>
  </si>
  <si>
    <t>Predicted average crash frequency (crashes/year)</t>
  </si>
  <si>
    <t>Roadway segment length (mi)</t>
  </si>
  <si>
    <t>Crash rate (crashes/mi/year)</t>
  </si>
  <si>
    <t>(4) from Worksheet 1C</t>
  </si>
  <si>
    <t>(8) from Worksheet 1C</t>
  </si>
  <si>
    <t>(3)/(4)</t>
  </si>
  <si>
    <t>&lt; 0.01</t>
  </si>
  <si>
    <t>Lane Width (ft)</t>
  </si>
  <si>
    <t>Shoulder Width (ft)</t>
  </si>
  <si>
    <t>Shoulder Type</t>
  </si>
  <si>
    <t>Lane Width</t>
  </si>
  <si>
    <t>TWLTL</t>
  </si>
  <si>
    <t>Lighting</t>
  </si>
  <si>
    <t>&lt; 400</t>
  </si>
  <si>
    <t>400 to 2000</t>
  </si>
  <si>
    <t>&gt; 2000</t>
  </si>
  <si>
    <t>Fatal</t>
  </si>
  <si>
    <t>Incapacitating Injury</t>
  </si>
  <si>
    <t>Nonincapacitating Injury</t>
  </si>
  <si>
    <t>Possible Injury</t>
  </si>
  <si>
    <t>Total Fatal Plus Injury</t>
  </si>
  <si>
    <t>Property Damage Only</t>
  </si>
  <si>
    <t>TOTAL</t>
  </si>
  <si>
    <t>Percentage of total roadway segment crashes</t>
  </si>
  <si>
    <t>HSM-Provided Values</t>
  </si>
  <si>
    <t>Locally-Derived Values</t>
  </si>
  <si>
    <t>Collision type</t>
  </si>
  <si>
    <t>SINGLE-VEHICLE CRASHES</t>
  </si>
  <si>
    <t>Other single-vehicle crash</t>
  </si>
  <si>
    <t>MULTIPLE-VEHICLE CRASHES</t>
  </si>
  <si>
    <t>Total multiple-vehicle crashes</t>
  </si>
  <si>
    <t>TOTAL CRASHES</t>
  </si>
  <si>
    <t>Total fatal and injury</t>
  </si>
  <si>
    <t>Percentage of total roadway segment crashes by crash severity level</t>
  </si>
  <si>
    <t>Property damage only</t>
  </si>
  <si>
    <t>TOTAL (all severity levels combined)</t>
  </si>
  <si>
    <t>Shoulder Width</t>
  </si>
  <si>
    <t>RHR</t>
  </si>
  <si>
    <t>Paved</t>
  </si>
  <si>
    <t>Gravel</t>
  </si>
  <si>
    <t>Composite</t>
  </si>
  <si>
    <t>Turf</t>
  </si>
  <si>
    <t>Spiral</t>
  </si>
  <si>
    <t>Not Present</t>
  </si>
  <si>
    <t>Present</t>
  </si>
  <si>
    <t>Centerline</t>
  </si>
  <si>
    <t>Rumble Strips</t>
  </si>
  <si>
    <t>Passing</t>
  </si>
  <si>
    <t>Lane</t>
  </si>
  <si>
    <t>SpEnforce</t>
  </si>
  <si>
    <t>Percentage of total crashes</t>
  </si>
  <si>
    <t>Three-leg stop-controlled intersections</t>
  </si>
  <si>
    <t>Four-leg stop-controlled intersections</t>
  </si>
  <si>
    <t>Four-leg signalized intersections</t>
  </si>
  <si>
    <t>Nonincapacitating injury</t>
  </si>
  <si>
    <t>Incapacitating injury</t>
  </si>
  <si>
    <t>Possible injury</t>
  </si>
  <si>
    <t>Total fatal plus injury</t>
  </si>
  <si>
    <t>Fatal and Injury</t>
  </si>
  <si>
    <t>Fatal and injury</t>
  </si>
  <si>
    <t>Note: The collision types related to lane width to which this CMF applies include single-vehicle run-off-the-road and multiple-vehicle head-on, opposite-direction sideswipe, and same-direction sideswipe crashes.</t>
  </si>
  <si>
    <t>Note: The collision types related to shoulder width to which this CMF applies include single-vehicle run-off-the-road and multiple-vehicle head-on, opposite-direction sideswipe, and same-direction sideswipe crashes.</t>
  </si>
  <si>
    <t>Passing lanes [present (1 lane) /present (2 lane) / not present)]</t>
  </si>
  <si>
    <t>Present (1 lane)</t>
  </si>
  <si>
    <t>Present (2 lanes)</t>
  </si>
  <si>
    <t>2U</t>
  </si>
  <si>
    <r>
      <t>Fatal and Injury p</t>
    </r>
    <r>
      <rPr>
        <b/>
        <vertAlign val="subscript"/>
        <sz val="10"/>
        <rFont val="Arial"/>
        <family val="2"/>
      </rPr>
      <t>inr</t>
    </r>
  </si>
  <si>
    <r>
      <t>PDO p</t>
    </r>
    <r>
      <rPr>
        <b/>
        <vertAlign val="subscript"/>
        <sz val="10"/>
        <rFont val="Arial"/>
        <family val="2"/>
      </rPr>
      <t>pnr</t>
    </r>
  </si>
  <si>
    <r>
      <t>p</t>
    </r>
    <r>
      <rPr>
        <b/>
        <vertAlign val="subscript"/>
        <sz val="10"/>
        <rFont val="Arial"/>
        <family val="2"/>
      </rPr>
      <t>nr</t>
    </r>
  </si>
  <si>
    <t>Proportion of total nighttime crashes by severity level</t>
  </si>
  <si>
    <t>Proportion of crashes that occur at night</t>
  </si>
  <si>
    <t>HSM Default Values</t>
  </si>
  <si>
    <t>Roadway Type</t>
  </si>
  <si>
    <t>Note: The values for composite shoulders in this exhibit represent a shoulder for which 50 percent of the shoulder width is paved and 50 percent of the shoulder width is turf.</t>
  </si>
  <si>
    <t>Local</t>
  </si>
  <si>
    <t>Yes</t>
  </si>
  <si>
    <t>No</t>
  </si>
  <si>
    <t>Locally-Derived Values?</t>
  </si>
  <si>
    <t>Worksheet 2A -- General Information and Input Data for Rural Two-Lane Two-Way Roadway Intersections</t>
  </si>
  <si>
    <t>Intersection</t>
  </si>
  <si>
    <t>Intersection type (3ST, 4ST, 4SG)</t>
  </si>
  <si>
    <r>
      <t>AADT</t>
    </r>
    <r>
      <rPr>
        <vertAlign val="subscript"/>
        <sz val="10"/>
        <rFont val="Arial"/>
        <family val="2"/>
      </rPr>
      <t>major</t>
    </r>
    <r>
      <rPr>
        <sz val="10"/>
        <rFont val="Arial"/>
        <family val="2"/>
      </rPr>
      <t xml:space="preserve"> (veh/day)</t>
    </r>
  </si>
  <si>
    <r>
      <t>AADT</t>
    </r>
    <r>
      <rPr>
        <vertAlign val="subscript"/>
        <sz val="10"/>
        <rFont val="Arial"/>
        <family val="2"/>
      </rPr>
      <t>minor</t>
    </r>
    <r>
      <rPr>
        <sz val="10"/>
        <rFont val="Arial"/>
        <family val="2"/>
      </rPr>
      <t xml:space="preserve"> (veh/day)</t>
    </r>
  </si>
  <si>
    <t>Intersection skew angle (degrees)</t>
  </si>
  <si>
    <t>Number of signalized or uncontrolled approaches with a left-turn lane (0, 1, 2, 3, 4)</t>
  </si>
  <si>
    <t>Number of signalized or uncontrolled approaches with a right-turn lane (0, 1, 2, 3, 4)</t>
  </si>
  <si>
    <t>Intersection lighting (present/not present)</t>
  </si>
  <si>
    <t>Itype</t>
  </si>
  <si>
    <t>3ST</t>
  </si>
  <si>
    <t>4ST</t>
  </si>
  <si>
    <t>4SG</t>
  </si>
  <si>
    <t>Lapproach</t>
  </si>
  <si>
    <t>Rapproach</t>
  </si>
  <si>
    <t>Ilight</t>
  </si>
  <si>
    <t>Worksheet 2B -- Crash Modification Factors for Rural Two-Lane Two-Way Roadway Intersections</t>
  </si>
  <si>
    <t>CMF for Intersection Skew Angle</t>
  </si>
  <si>
    <t>from Equations 10-22 or 10-23</t>
  </si>
  <si>
    <t>CMF for Left-Turn Lanes</t>
  </si>
  <si>
    <t>CMF for Right-Turn Lanes</t>
  </si>
  <si>
    <t>Combined CMF</t>
  </si>
  <si>
    <t>(1)*(2)*(3)*(4)</t>
  </si>
  <si>
    <t>Worksheet 2C -- Intersection Crashes for Rural Two-Lane Two-Way Roadway Intersections</t>
  </si>
  <si>
    <r>
      <t xml:space="preserve">N </t>
    </r>
    <r>
      <rPr>
        <vertAlign val="subscript"/>
        <sz val="10"/>
        <rFont val="Arial"/>
        <family val="2"/>
      </rPr>
      <t>spf 3ST, 4ST or 4SG</t>
    </r>
  </si>
  <si>
    <r>
      <t>N</t>
    </r>
    <r>
      <rPr>
        <vertAlign val="subscript"/>
        <sz val="10"/>
        <rFont val="Arial"/>
        <family val="2"/>
      </rPr>
      <t xml:space="preserve"> spf 3ST, 4ST or 4SG</t>
    </r>
    <r>
      <rPr>
        <sz val="10"/>
        <rFont val="Arial"/>
        <family val="2"/>
      </rPr>
      <t xml:space="preserve"> by Severity Distribution</t>
    </r>
  </si>
  <si>
    <t>from Equations 10-8, 10-9, or 10-10</t>
  </si>
  <si>
    <t>from Section 10.6.2</t>
  </si>
  <si>
    <r>
      <t>(2)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(4)</t>
    </r>
  </si>
  <si>
    <t>(5)*(6)*(7)</t>
  </si>
  <si>
    <t>Worksheet 2D -- Crashes by Severity Level and Collision Type for Rural Two-Lane Two-Way Road Intersections</t>
  </si>
  <si>
    <t>Worksheet 2E -- Summary Results for Rural Two-Lane Two-Way Road Intersections</t>
  </si>
  <si>
    <t>(4) from Worksheet 2C</t>
  </si>
  <si>
    <t>Differ</t>
  </si>
  <si>
    <t>Skew for Leg 1 (All):</t>
  </si>
  <si>
    <t>Skew for Leg 2 (4ST only):</t>
  </si>
  <si>
    <r>
      <t>Number of approaches with left-turn lanes</t>
    </r>
    <r>
      <rPr>
        <b/>
        <vertAlign val="superscript"/>
        <sz val="10"/>
        <rFont val="Arial"/>
        <family val="2"/>
      </rPr>
      <t xml:space="preserve"> a</t>
    </r>
  </si>
  <si>
    <t>Intersection type</t>
  </si>
  <si>
    <t>Intersection traffic control</t>
  </si>
  <si>
    <t>Three-leg intersection</t>
  </si>
  <si>
    <t>Traffic signal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</si>
  <si>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Stop-controlled approaches are not considered in determing the number of approaches with left-turn lanes</t>
    </r>
  </si>
  <si>
    <t>Note: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</si>
  <si>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Stop signs present on minor road approaches only.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</si>
  <si>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Stop-controlled approaches are not considered in determing the number of approaches with right-turn lanes</t>
    </r>
  </si>
  <si>
    <t>Intersection Type</t>
  </si>
  <si>
    <t>HSM Provided Values</t>
  </si>
  <si>
    <r>
      <t>Proportion of crashes that occur at night, p</t>
    </r>
    <r>
      <rPr>
        <b/>
        <vertAlign val="subscript"/>
        <sz val="10"/>
        <rFont val="Arial"/>
        <family val="2"/>
      </rPr>
      <t>ni</t>
    </r>
  </si>
  <si>
    <r>
      <t xml:space="preserve">Predicted average crash frequency,   N </t>
    </r>
    <r>
      <rPr>
        <vertAlign val="subscript"/>
        <sz val="10"/>
        <rFont val="Arial"/>
        <family val="2"/>
      </rPr>
      <t>predicted int</t>
    </r>
  </si>
  <si>
    <r>
      <t>(8)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2C</t>
    </r>
  </si>
  <si>
    <r>
      <t>(8)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2C</t>
    </r>
  </si>
  <si>
    <r>
      <t>(8)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2C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</si>
  <si>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</si>
  <si>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</si>
  <si>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(PDO)</t>
    </r>
    <r>
      <rPr>
        <b/>
        <sz val="10"/>
        <rFont val="Arial"/>
        <family val="2"/>
      </rPr>
      <t xml:space="preserve"> (crashes/year)</t>
    </r>
  </si>
  <si>
    <t>Predicted average crash frequency (crashes / year)</t>
  </si>
  <si>
    <t>(8) from Worksheet 2C</t>
  </si>
  <si>
    <t>Mwidth</t>
  </si>
  <si>
    <t>Divided</t>
  </si>
  <si>
    <t>Undivided</t>
  </si>
  <si>
    <t>Division</t>
  </si>
  <si>
    <t>Sslope</t>
  </si>
  <si>
    <t>1:2 or Steeper</t>
  </si>
  <si>
    <t>1:4</t>
  </si>
  <si>
    <t>1:5</t>
  </si>
  <si>
    <t>1:6</t>
  </si>
  <si>
    <t>1:7 or Flatter</t>
  </si>
  <si>
    <t>Shld2</t>
  </si>
  <si>
    <t>Iapproach</t>
  </si>
  <si>
    <t>Overview</t>
  </si>
  <si>
    <t>Color Coding in the Worksheets</t>
  </si>
  <si>
    <t>Color Used</t>
  </si>
  <si>
    <t>Type of Information Required from User</t>
  </si>
  <si>
    <t>Worksheet Name</t>
  </si>
  <si>
    <t>Contents</t>
  </si>
  <si>
    <t>Instructions</t>
  </si>
  <si>
    <t>Current worksheet displaying overview, summary</t>
  </si>
  <si>
    <t>of spreadsheet worksheets, and description of</t>
  </si>
  <si>
    <t>to improve analysis for local crash distribution</t>
  </si>
  <si>
    <t>color coding included in the worksheets.</t>
  </si>
  <si>
    <t>worksheets will then use the local values</t>
  </si>
  <si>
    <t>instead of the HSM default values.</t>
  </si>
  <si>
    <t>Analysis for site-specific EB analysis using</t>
  </si>
  <si>
    <t xml:space="preserve">Analysis for project-specific EB analysis using </t>
  </si>
  <si>
    <t>Data in this worksheet has been used to</t>
  </si>
  <si>
    <t>help define the pull-down options in the</t>
  </si>
  <si>
    <t>analysis worksheets.  There is no need for a</t>
  </si>
  <si>
    <t>user to work within this worksheet, but the</t>
  </si>
  <si>
    <t>worksheet should be retained so that the</t>
  </si>
  <si>
    <t>other worksheets can continue to use the</t>
  </si>
  <si>
    <t>options included in this sheet.</t>
  </si>
  <si>
    <t>SH 321</t>
  </si>
  <si>
    <t>Anywhere, USA</t>
  </si>
  <si>
    <t>Worksheet 3A -- Predicted and Observed Crashes by Severity and Site Type Using the Site-Specific EB Method</t>
  </si>
  <si>
    <r>
      <t>Observed crashes,</t>
    </r>
    <r>
      <rPr>
        <sz val="10"/>
        <rFont val="Arial"/>
        <family val="2"/>
      </rPr>
      <t xml:space="preserve">   N</t>
    </r>
    <r>
      <rPr>
        <vertAlign val="subscript"/>
        <sz val="10"/>
        <rFont val="Arial"/>
        <family val="2"/>
      </rPr>
      <t>observed</t>
    </r>
    <r>
      <rPr>
        <sz val="10"/>
        <rFont val="Arial"/>
        <family val="2"/>
      </rPr>
      <t xml:space="preserve"> (crashes/year)</t>
    </r>
  </si>
  <si>
    <t>Weighted adjustment, w</t>
  </si>
  <si>
    <r>
      <t>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2"/>
      </rPr>
      <t xml:space="preserve"> (TOTAL)</t>
    </r>
  </si>
  <si>
    <r>
      <t xml:space="preserve">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2"/>
      </rPr>
      <t xml:space="preserve">    (PDO)</t>
    </r>
  </si>
  <si>
    <t>Equation A-5 from Part C Appendix</t>
  </si>
  <si>
    <t>ROADWAY SEGMENTS</t>
  </si>
  <si>
    <t>Segment 3</t>
  </si>
  <si>
    <t>Segment 4</t>
  </si>
  <si>
    <t>Segment 5</t>
  </si>
  <si>
    <t>Segment 6</t>
  </si>
  <si>
    <t>Segment 7</t>
  </si>
  <si>
    <t>Segment 8</t>
  </si>
  <si>
    <t>INTERSECTIONS</t>
  </si>
  <si>
    <t>Intersection 1</t>
  </si>
  <si>
    <t>Intersection 2</t>
  </si>
  <si>
    <t>Intersection 3</t>
  </si>
  <si>
    <t>Intersection 4</t>
  </si>
  <si>
    <t>Intersection 5</t>
  </si>
  <si>
    <t>Intersection 6</t>
  </si>
  <si>
    <t>Intersection 7</t>
  </si>
  <si>
    <t>Intersection 8</t>
  </si>
  <si>
    <t>COMBINED (sum of column)</t>
  </si>
  <si>
    <t>Worksheet 3B -- Site-Specific EB Method Summary Results</t>
  </si>
  <si>
    <r>
      <t xml:space="preserve">N </t>
    </r>
    <r>
      <rPr>
        <b/>
        <vertAlign val="subscript"/>
        <sz val="10"/>
        <rFont val="Arial"/>
        <family val="2"/>
      </rPr>
      <t>predicted</t>
    </r>
  </si>
  <si>
    <r>
      <t xml:space="preserve">N </t>
    </r>
    <r>
      <rPr>
        <b/>
        <vertAlign val="subscript"/>
        <sz val="10"/>
        <rFont val="Arial"/>
        <family val="2"/>
      </rPr>
      <t>expected</t>
    </r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</si>
  <si>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</si>
  <si>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(8)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</si>
  <si>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t>Fatal and injury (FI)</t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</si>
  <si>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</si>
  <si>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</si>
  <si>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t>Property damage only (PDO)</t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</si>
  <si>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</si>
  <si>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PDO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</si>
  <si>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t>Worksheet 4A -- Predicted and Observed Crashes by Severity and Site Type Using the Project-Level EB Method</t>
  </si>
  <si>
    <r>
      <t>N</t>
    </r>
    <r>
      <rPr>
        <b/>
        <vertAlign val="subscript"/>
        <sz val="10"/>
        <rFont val="Arial"/>
        <family val="2"/>
      </rPr>
      <t>w0</t>
    </r>
  </si>
  <si>
    <r>
      <t>N</t>
    </r>
    <r>
      <rPr>
        <b/>
        <vertAlign val="subscript"/>
        <sz val="10"/>
        <rFont val="Arial"/>
        <family val="2"/>
      </rPr>
      <t>w1</t>
    </r>
  </si>
  <si>
    <r>
      <t>W</t>
    </r>
    <r>
      <rPr>
        <b/>
        <vertAlign val="subscript"/>
        <sz val="10"/>
        <rFont val="Arial"/>
        <family val="2"/>
      </rPr>
      <t>0</t>
    </r>
  </si>
  <si>
    <r>
      <t>N</t>
    </r>
    <r>
      <rPr>
        <b/>
        <vertAlign val="subscript"/>
        <sz val="10"/>
        <rFont val="Arial"/>
        <family val="2"/>
      </rPr>
      <t>0</t>
    </r>
  </si>
  <si>
    <r>
      <t>w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</si>
  <si>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</si>
  <si>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p/comb</t>
    </r>
  </si>
  <si>
    <r>
      <t>Equation A-8  (6)*(2)</t>
    </r>
    <r>
      <rPr>
        <vertAlign val="superscript"/>
        <sz val="10"/>
        <rFont val="Arial"/>
        <family val="2"/>
      </rPr>
      <t>2</t>
    </r>
  </si>
  <si>
    <t>Equation A-9  sqrt((6)*(2))</t>
  </si>
  <si>
    <t>Equation   A-10</t>
  </si>
  <si>
    <t>Equation   A-11</t>
  </si>
  <si>
    <t>Equation   A-12</t>
  </si>
  <si>
    <t>Equation   A-13</t>
  </si>
  <si>
    <t>Equation   A-14</t>
  </si>
  <si>
    <t>Worksheet 4B -- Project-Level EB Method Summary Results</t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</si>
  <si>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</si>
  <si>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(13)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</si>
  <si>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</si>
  <si>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</si>
  <si>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t>Segment 1</t>
  </si>
  <si>
    <t>Segment 2</t>
  </si>
  <si>
    <t>Rural 2-lane Site Total</t>
  </si>
  <si>
    <t>results from the rural 2-lane segment as well as</t>
  </si>
  <si>
    <t>knows the exact location of historic crashes</t>
  </si>
  <si>
    <t>HSM worksheets are 3A and 3B.</t>
  </si>
  <si>
    <t>Rural 2-lane Project Total</t>
  </si>
  <si>
    <t>historic crash data, but does not know the</t>
  </si>
  <si>
    <t>exact location within the project limits at</t>
  </si>
  <si>
    <t>HSM worksheets are Worksheets 4A and 4B.</t>
  </si>
  <si>
    <t>Duplicate segment worksheet for additional</t>
  </si>
  <si>
    <t>highway segments.</t>
  </si>
  <si>
    <t>Duplicate intersection worksheet for</t>
  </si>
  <si>
    <t>additional highway segments.</t>
  </si>
  <si>
    <t>Tables Affiliated with Crash Statistics:</t>
  </si>
  <si>
    <t>Tables Affiliated with Crash Modification Factors:</t>
  </si>
  <si>
    <t>Supplemental CMF Calculations for Shoulders:</t>
  </si>
  <si>
    <t>Segment Tables</t>
  </si>
  <si>
    <t xml:space="preserve">provided crash trends as well as locally-derived crash </t>
  </si>
  <si>
    <t>Includes segment tables used for analysis of HSM-</t>
  </si>
  <si>
    <t>Analysis for the rural 2-lane segments that</t>
  </si>
  <si>
    <t>uses lookup tables from exhibits included</t>
  </si>
  <si>
    <t>Analysis for the rural 2-lane intersections that</t>
  </si>
  <si>
    <t>Intersection Tables</t>
  </si>
  <si>
    <t>Includes intersection tables used for analysis of HSM-</t>
  </si>
  <si>
    <t>provided crash trends as well as locally-derived crash</t>
  </si>
  <si>
    <t>in the worksheet "Segment Tables." The</t>
  </si>
  <si>
    <t>associated HSM worksheets are 1A, 1B, 1C,</t>
  </si>
  <si>
    <t>1D, and 1E.</t>
  </si>
  <si>
    <t>in the worksheet "Intersection Tables." The</t>
  </si>
  <si>
    <t>associated HSM worksheets are 2A, 2B, 2C,</t>
  </si>
  <si>
    <t>2D, and 2E.</t>
  </si>
  <si>
    <t>Construction -- Do Not Delete</t>
  </si>
  <si>
    <t>Supplemental CMF Calculations for Horizontal Curves:</t>
  </si>
  <si>
    <t>Adjusted Curve Length (if less than 100 ft):</t>
  </si>
  <si>
    <t>Adjusted Curve Radius (if less than 100 ft):</t>
  </si>
  <si>
    <t>One End Only</t>
  </si>
  <si>
    <t>Numeric Value for S:</t>
  </si>
  <si>
    <t>Calculated Horizonatal Curve CMF:</t>
  </si>
  <si>
    <t>Adjusted Horizontal Curve CMF:</t>
  </si>
  <si>
    <r>
      <t>CMF</t>
    </r>
    <r>
      <rPr>
        <vertAlign val="subscript"/>
        <sz val="10"/>
        <rFont val="Arial"/>
        <family val="2"/>
      </rPr>
      <t xml:space="preserve"> 1i</t>
    </r>
  </si>
  <si>
    <r>
      <t>CMF</t>
    </r>
    <r>
      <rPr>
        <vertAlign val="subscript"/>
        <sz val="10"/>
        <rFont val="Arial"/>
        <family val="2"/>
      </rPr>
      <t xml:space="preserve"> 2i</t>
    </r>
  </si>
  <si>
    <r>
      <t>CMF</t>
    </r>
    <r>
      <rPr>
        <vertAlign val="subscript"/>
        <sz val="10"/>
        <rFont val="Arial"/>
        <family val="2"/>
      </rPr>
      <t xml:space="preserve"> 3i</t>
    </r>
  </si>
  <si>
    <r>
      <t>CMF</t>
    </r>
    <r>
      <rPr>
        <vertAlign val="subscript"/>
        <sz val="10"/>
        <rFont val="Arial"/>
        <family val="2"/>
      </rPr>
      <t xml:space="preserve"> 4i</t>
    </r>
  </si>
  <si>
    <r>
      <t>CMF</t>
    </r>
    <r>
      <rPr>
        <vertAlign val="subscript"/>
        <sz val="10"/>
        <rFont val="Arial"/>
        <family val="2"/>
      </rPr>
      <t xml:space="preserve"> COMB</t>
    </r>
  </si>
  <si>
    <t>from (5) of Worksheet 2B</t>
  </si>
  <si>
    <t>COMBINED</t>
  </si>
  <si>
    <t>MP 3.5 to MP 3.6</t>
  </si>
  <si>
    <t>Table 10-3: Distribution for Crash Severity Level on Rural Two-Lane Two-Way Roadway Segments plus Locally-Derived Values</t>
  </si>
  <si>
    <t>Table 10-4: Default Distribution by Collision Type for Specific Crash Severity Levels on Rural Two-Lane Two-Way Roadway Segments plus Locally-Derived Values</t>
  </si>
  <si>
    <t>Note:  HSM-provided values based on crash data for Washington (2002-2006); includes approximately 70 percent opposite-direction sideswipe and 30 percent same-direction sideswipe collisions.</t>
  </si>
  <si>
    <t>Note: HSM-provided crash severity data based on HSIS data for Washington (2002-2006)</t>
  </si>
  <si>
    <t>Table 10-5: Default Distribution for Crash Severity Level at Rural Two-Lane Two-Way Intersections plus Locally-Derived Values</t>
  </si>
  <si>
    <t>Table 10-6: Default Distribution for Collision Type and Manner of Collision at Rural Two-Way Intersections plus Locally-Derived Values</t>
  </si>
  <si>
    <t>Note:  HSM-Provided values based on HSIS data for California (2002-2006)</t>
  </si>
  <si>
    <r>
      <t>Table 10-8: CMF for Lane Width on Roadway Segments (CMF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>)</t>
    </r>
  </si>
  <si>
    <r>
      <t>Table 10-9: CMF for Shoulder Width on Roadway Segments (CMF</t>
    </r>
    <r>
      <rPr>
        <b/>
        <vertAlign val="subscript"/>
        <sz val="10"/>
        <rFont val="Arial"/>
        <family val="2"/>
      </rPr>
      <t>wra</t>
    </r>
    <r>
      <rPr>
        <b/>
        <sz val="10"/>
        <rFont val="Arial"/>
        <family val="2"/>
      </rPr>
      <t>)</t>
    </r>
  </si>
  <si>
    <r>
      <t>Table 10-10: Crash Modification Factors for Shoulder Types and Shoulder Widths on Roadway Segments (CMF</t>
    </r>
    <r>
      <rPr>
        <b/>
        <vertAlign val="subscript"/>
        <sz val="10"/>
        <rFont val="Arial"/>
        <family val="2"/>
      </rPr>
      <t>tra</t>
    </r>
    <r>
      <rPr>
        <b/>
        <sz val="10"/>
        <rFont val="Arial"/>
        <family val="2"/>
      </rPr>
      <t>)</t>
    </r>
  </si>
  <si>
    <t>from Table 10-11</t>
  </si>
  <si>
    <t>Note:  HSM-provided values based on HSIS data for Washington (2002-2006)</t>
  </si>
  <si>
    <t>Table 10-12: Nighttime Crash Proportions for Unlighted Roadway Segments plus Locally-Derived Values</t>
  </si>
  <si>
    <t>from  Equation 10-6</t>
  </si>
  <si>
    <t>from Table 10-3 (proportion)</t>
  </si>
  <si>
    <t>from Table 10-4</t>
  </si>
  <si>
    <t xml:space="preserve">  from Table   10-4</t>
  </si>
  <si>
    <t>Crash Severity Distribution (proportion)</t>
  </si>
  <si>
    <t xml:space="preserve">  from Table  10-5</t>
  </si>
  <si>
    <t xml:space="preserve">    from Table  10-6</t>
  </si>
  <si>
    <t>from Table 10-6</t>
  </si>
  <si>
    <r>
      <t xml:space="preserve">Crash Severity Distribution </t>
    </r>
    <r>
      <rPr>
        <sz val="10"/>
        <rFont val="Arial"/>
        <family val="2"/>
      </rPr>
      <t>(proportion)</t>
    </r>
  </si>
  <si>
    <r>
      <t>Table 10-13: CMF for Installation of Left-Turn Lanes on Intersection Approaches (CMF</t>
    </r>
    <r>
      <rPr>
        <b/>
        <vertAlign val="subscript"/>
        <sz val="10"/>
        <rFont val="Arial"/>
        <family val="2"/>
      </rPr>
      <t>2i</t>
    </r>
    <r>
      <rPr>
        <b/>
        <sz val="10"/>
        <rFont val="Arial"/>
        <family val="2"/>
      </rPr>
      <t>)</t>
    </r>
  </si>
  <si>
    <r>
      <t xml:space="preserve">Minor road stop control </t>
    </r>
    <r>
      <rPr>
        <vertAlign val="superscript"/>
        <sz val="10"/>
        <rFont val="Arial"/>
        <family val="2"/>
      </rPr>
      <t>b</t>
    </r>
  </si>
  <si>
    <t>Four-leg intersection</t>
  </si>
  <si>
    <r>
      <t>Table 10-14: CMF for Installation of Right-Turn Lanes on Intersection Approaches (CMF</t>
    </r>
    <r>
      <rPr>
        <b/>
        <vertAlign val="subscript"/>
        <sz val="10"/>
        <rFont val="Arial"/>
        <family val="2"/>
      </rPr>
      <t>3i</t>
    </r>
    <r>
      <rPr>
        <b/>
        <sz val="10"/>
        <rFont val="Arial"/>
        <family val="2"/>
      </rPr>
      <t>)</t>
    </r>
  </si>
  <si>
    <t>Table 10-15: Nighttime Crash Proportions for Unlighted Intersections</t>
  </si>
  <si>
    <t>Main Street at 2nd Street</t>
  </si>
  <si>
    <t>Main Street at 1st Street</t>
  </si>
  <si>
    <t>from Table 10-13</t>
  </si>
  <si>
    <t>from Table 10-14</t>
  </si>
  <si>
    <t>from Equation 10-24</t>
  </si>
  <si>
    <t>information.  These are HSM Tables 10-3, 10-4,</t>
  </si>
  <si>
    <t>used for CMF calculations.  These tables</t>
  </si>
  <si>
    <t>include Table 10-8, 10-9, and 10-10.</t>
  </si>
  <si>
    <t>include Tables 10-13 and 10-14.</t>
  </si>
  <si>
    <t>Highway Safety Manual 1st Edition, Volume 2, Chapter 10 -- Predictive Method for Rural Two-Lane, Two-Way Roads -- Analysis Spreadsheet Summary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</si>
  <si>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</si>
  <si>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Right Shld:</t>
  </si>
  <si>
    <r>
      <t>Calculated Right Shoulder Width (CMF</t>
    </r>
    <r>
      <rPr>
        <vertAlign val="subscript"/>
        <sz val="10"/>
        <rFont val="Arial"/>
        <family val="2"/>
      </rPr>
      <t>wra</t>
    </r>
    <r>
      <rPr>
        <sz val="10"/>
        <rFont val="Arial"/>
        <family val="2"/>
      </rPr>
      <t>) :</t>
    </r>
  </si>
  <si>
    <r>
      <t>Calculated Left Shoulder Width (CMF</t>
    </r>
    <r>
      <rPr>
        <vertAlign val="subscript"/>
        <sz val="10"/>
        <rFont val="Arial"/>
        <family val="2"/>
      </rPr>
      <t>wra</t>
    </r>
    <r>
      <rPr>
        <sz val="10"/>
        <rFont val="Arial"/>
        <family val="2"/>
      </rPr>
      <t>) :</t>
    </r>
  </si>
  <si>
    <r>
      <t>Calculated Right Shoulder Type (CMF</t>
    </r>
    <r>
      <rPr>
        <vertAlign val="subscript"/>
        <sz val="10"/>
        <rFont val="Arial"/>
        <family val="2"/>
      </rPr>
      <t xml:space="preserve"> tra</t>
    </r>
    <r>
      <rPr>
        <sz val="10"/>
        <rFont val="Arial"/>
        <family val="2"/>
      </rPr>
      <t>) :</t>
    </r>
  </si>
  <si>
    <r>
      <t>Calculated Left Shoulder Type (CMF</t>
    </r>
    <r>
      <rPr>
        <vertAlign val="subscript"/>
        <sz val="10"/>
        <rFont val="Arial"/>
        <family val="2"/>
      </rPr>
      <t xml:space="preserve"> tra</t>
    </r>
    <r>
      <rPr>
        <sz val="10"/>
        <rFont val="Arial"/>
        <family val="2"/>
      </rPr>
      <t>) :</t>
    </r>
  </si>
  <si>
    <r>
      <t>Computed Right Shoulder CMF</t>
    </r>
    <r>
      <rPr>
        <vertAlign val="subscript"/>
        <sz val="10"/>
        <rFont val="Arial"/>
        <family val="2"/>
      </rPr>
      <t xml:space="preserve">2r </t>
    </r>
    <r>
      <rPr>
        <sz val="10"/>
        <rFont val="Arial"/>
        <family val="2"/>
      </rPr>
      <t>:</t>
    </r>
  </si>
  <si>
    <r>
      <t>Computed Left Shoulder CMF</t>
    </r>
    <r>
      <rPr>
        <vertAlign val="subscript"/>
        <sz val="10"/>
        <rFont val="Arial"/>
        <family val="2"/>
      </rPr>
      <t xml:space="preserve">2r </t>
    </r>
    <r>
      <rPr>
        <sz val="10"/>
        <rFont val="Arial"/>
        <family val="2"/>
      </rPr>
      <t>:</t>
    </r>
  </si>
  <si>
    <t>Left Shld:</t>
  </si>
  <si>
    <t>MP 0.0 to MP 1.5</t>
  </si>
  <si>
    <t>Spreadsheet developed by:</t>
  </si>
  <si>
    <t>Karen Dixon, Ph.D., P.E.</t>
  </si>
  <si>
    <t>Skew Intersection:</t>
  </si>
  <si>
    <t>SRG</t>
  </si>
  <si>
    <t>TTI</t>
  </si>
  <si>
    <t>Constant</t>
  </si>
  <si>
    <t>AADT</t>
  </si>
  <si>
    <t>Locally-Derived Values (Texas)</t>
  </si>
  <si>
    <t>AADTmaj</t>
  </si>
  <si>
    <t>AADTmin</t>
  </si>
  <si>
    <t>Overdispersion</t>
  </si>
  <si>
    <t>from Equation 10-18 &amp;    10-19</t>
  </si>
  <si>
    <t>CMF for Superelevation</t>
  </si>
  <si>
    <t>Region</t>
  </si>
  <si>
    <t>East</t>
  </si>
  <si>
    <t>North</t>
  </si>
  <si>
    <t>South</t>
  </si>
  <si>
    <t>West</t>
  </si>
  <si>
    <t>SPF Coefficients</t>
  </si>
  <si>
    <t>Percentage of total crashes by collision type (Locally-Derived Values)</t>
  </si>
  <si>
    <t>3ST (HSM)</t>
  </si>
  <si>
    <t>4ST (HSM)</t>
  </si>
  <si>
    <t>4SG (HSM)</t>
  </si>
  <si>
    <t>3ST (Local)</t>
  </si>
  <si>
    <t>4ST (Local)</t>
  </si>
  <si>
    <t>4SG (Local)</t>
  </si>
  <si>
    <t>Texas A&amp;M Transportation Institute</t>
  </si>
  <si>
    <t>Traffic Operations &amp; Roadway Safety</t>
  </si>
  <si>
    <t>E-mail:  k-dixon@tti.tamu.edu</t>
  </si>
  <si>
    <t>Phone:  (979) 317-2143</t>
  </si>
  <si>
    <t>Spreadsheet updated by:</t>
  </si>
  <si>
    <t>Michael P. Pratt, P.E., P.T.O.E.</t>
  </si>
  <si>
    <t>Roadway Design</t>
  </si>
  <si>
    <t>E-mail:  m-pratt@tti.tamu.edu</t>
  </si>
  <si>
    <t>Phone:  (979) 317-2149</t>
  </si>
  <si>
    <t>1111 RELLIS Parkway</t>
  </si>
  <si>
    <t>Bryan, TX 77807-3135</t>
  </si>
  <si>
    <t>Region Adjustment Factors</t>
  </si>
  <si>
    <t>Adjustment Factor</t>
  </si>
  <si>
    <t>Not Specified</t>
  </si>
  <si>
    <t xml:space="preserve">identify locations where input data is required or output data is </t>
  </si>
  <si>
    <t>is as follows:</t>
  </si>
  <si>
    <t>trends, each of the Tables with the locally-</t>
  </si>
  <si>
    <t>Key output data, including predicted crash</t>
  </si>
  <si>
    <t>frequency, expected crash frequency, or</t>
  </si>
  <si>
    <t>combined CMF.</t>
  </si>
  <si>
    <t>These values are determined from a query of</t>
  </si>
  <si>
    <t>crash data and should be altered with caution</t>
  </si>
  <si>
    <t>only if justified based on an updated data</t>
  </si>
  <si>
    <t>using locally-derived crash information.  The</t>
  </si>
  <si>
    <t>Optional input data used to describe the analysis.</t>
  </si>
  <si>
    <t>These values do not affect calculation results.</t>
  </si>
  <si>
    <t>Districts and Regions</t>
  </si>
  <si>
    <t>District</t>
  </si>
  <si>
    <t>Abilene</t>
  </si>
  <si>
    <t>Amarillo</t>
  </si>
  <si>
    <t>Atlanta</t>
  </si>
  <si>
    <t>Austin</t>
  </si>
  <si>
    <t>Beaumont</t>
  </si>
  <si>
    <t>Brownwood</t>
  </si>
  <si>
    <t>Bryan</t>
  </si>
  <si>
    <t>Childress</t>
  </si>
  <si>
    <t>Corpus Christi</t>
  </si>
  <si>
    <t>Dallas</t>
  </si>
  <si>
    <t>El Paso</t>
  </si>
  <si>
    <t>Fort Worth</t>
  </si>
  <si>
    <t>Houston</t>
  </si>
  <si>
    <t>Laredo</t>
  </si>
  <si>
    <t>Lubbock</t>
  </si>
  <si>
    <t>Lufkin</t>
  </si>
  <si>
    <t>Odessa</t>
  </si>
  <si>
    <t>Paris</t>
  </si>
  <si>
    <t>Pharr</t>
  </si>
  <si>
    <t>San Angelo</t>
  </si>
  <si>
    <t>San Antonio</t>
  </si>
  <si>
    <t>Tyler</t>
  </si>
  <si>
    <t>Waco</t>
  </si>
  <si>
    <t>Wichita Falls</t>
  </si>
  <si>
    <t>Yoakum</t>
  </si>
  <si>
    <t>TxDOT district</t>
  </si>
  <si>
    <r>
      <t xml:space="preserve">Predicted average crash frequency,                   N </t>
    </r>
    <r>
      <rPr>
        <b/>
        <i/>
        <vertAlign val="subscript"/>
        <sz val="10"/>
        <rFont val="Arial"/>
        <family val="2"/>
      </rPr>
      <t>predicted rs</t>
    </r>
    <r>
      <rPr>
        <b/>
        <sz val="10"/>
        <rFont val="Arial"/>
        <family val="2"/>
      </rPr>
      <t xml:space="preserve"> (crashes/year)</t>
    </r>
  </si>
  <si>
    <r>
      <t>State/Region Adjustment, C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* AF</t>
    </r>
    <r>
      <rPr>
        <b/>
        <vertAlign val="subscript"/>
        <sz val="10"/>
        <rFont val="Arial"/>
        <family val="2"/>
      </rPr>
      <t>r</t>
    </r>
  </si>
  <si>
    <r>
      <t>Statewide Calibration Factor, C</t>
    </r>
    <r>
      <rPr>
        <vertAlign val="subscript"/>
        <sz val="10"/>
        <rFont val="Arial"/>
        <family val="2"/>
      </rPr>
      <t>s</t>
    </r>
  </si>
  <si>
    <r>
      <t>State/Region Adjustment, C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* AF</t>
    </r>
    <r>
      <rPr>
        <vertAlign val="subscript"/>
        <sz val="10"/>
        <rFont val="Arial"/>
        <family val="2"/>
      </rPr>
      <t>r</t>
    </r>
  </si>
  <si>
    <t>Updated for Texas Roadways based on TxDOT Research Projects 0-7083 &amp; 5-7083</t>
  </si>
  <si>
    <t>Comment Boxes in the Worksheets</t>
  </si>
  <si>
    <t>Some of the cells in the worksheets have comment boxes that provide</t>
  </si>
  <si>
    <r>
      <t xml:space="preserve">additional clarification about the needed input data.  </t>
    </r>
    <r>
      <rPr>
        <u/>
        <sz val="10"/>
        <rFont val="Arial"/>
        <family val="2"/>
      </rPr>
      <t>Red triangles</t>
    </r>
  </si>
  <si>
    <t>indicate the presence of these comments.  The comments can be</t>
  </si>
  <si>
    <t>viewed by placing the cursor on top of the red triangles.</t>
  </si>
  <si>
    <t>in the HSM.  Comment provided.</t>
  </si>
  <si>
    <t>Automated speed enforcement (present/not present)</t>
  </si>
  <si>
    <t>Roadside hazard rating (RHR) (1-7 scale)</t>
  </si>
  <si>
    <t>RHR described in Appendix D (p. 195/200)</t>
  </si>
  <si>
    <t>Map</t>
  </si>
  <si>
    <t>veh/day</t>
  </si>
  <si>
    <t>Driveway density:</t>
  </si>
  <si>
    <t>5 driveways / mile</t>
  </si>
  <si>
    <t>Driveways (number)</t>
  </si>
  <si>
    <t>Supplemental CMF Calculations for Driveways:</t>
  </si>
  <si>
    <t>The worksheet tabs shown at the bottom of this file represent the various analyses</t>
  </si>
  <si>
    <t>The current contents of this spreadsheet include the following worksheets:</t>
  </si>
  <si>
    <t>analysis.  If the user elects to use this option</t>
  </si>
  <si>
    <t>where the user should indicate he or she is</t>
  </si>
  <si>
    <t>analysis can be performed if the user</t>
  </si>
  <si>
    <t>analysis can be performed if the user has</t>
  </si>
  <si>
    <t>This spreadsheet has been developed to demonstrate the predictive models for</t>
  </si>
  <si>
    <t>rural two-lane highways as contained in the Highway Safety Manual.  The content</t>
  </si>
  <si>
    <t>was developed for training purposes and all users should verify that the answers</t>
  </si>
  <si>
    <t>that they obtain with these worksheets correctly represent their target analysis.</t>
  </si>
  <si>
    <t xml:space="preserve">provided.  In some cases, the shaded cells require the user to input </t>
  </si>
  <si>
    <t xml:space="preserve">specific numbers.  In other cases the input is restricted to a select </t>
  </si>
  <si>
    <t xml:space="preserve">set of options included in pull-down lists.  The respective color coding </t>
  </si>
  <si>
    <t>that can be performed using this spreadsheet tool and the HSM predictive methods.</t>
  </si>
  <si>
    <t>A user can evaluate an individual road segment or intersection as well as analyze</t>
  </si>
  <si>
    <t>multiple road segments and intersections.  If more than one segment type requires</t>
  </si>
  <si>
    <t>analysis, the user should create a blank worksheet and then copy the contents</t>
  </si>
  <si>
    <t>of the segment worksheet into the blank sheet and name the worksheet accordingly.</t>
  </si>
  <si>
    <t>The analysis worksheets provide the base condition for each input variable.  If the</t>
  </si>
  <si>
    <t>user does not have data to describe the site conditions for the variable of interest,</t>
  </si>
  <si>
    <t>he or she should enter a value equal to the base condition for the variable.</t>
  </si>
  <si>
    <t>and 10-12.  This worksheet also includes tables</t>
  </si>
  <si>
    <t>information.  These are HSM Tables 10-5, 10-6,</t>
  </si>
  <si>
    <t>and 10-15.  This worksheet also includes tables</t>
  </si>
  <si>
    <t>rural 2-lane intersection worksheets.  This</t>
  </si>
  <si>
    <t>within the study limits.  The associated</t>
  </si>
  <si>
    <t>which the crashes occurred.  The associated</t>
  </si>
  <si>
    <t>The worksheets include five specific color options to help users</t>
  </si>
  <si>
    <t>Percentage of total crashes by collision type (HSM Default Values)</t>
  </si>
  <si>
    <t>Site type and description</t>
  </si>
  <si>
    <t>From worksheet</t>
  </si>
  <si>
    <t>Equation A-4 from Part C Appendix</t>
  </si>
  <si>
    <r>
      <t xml:space="preserve">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2"/>
      </rPr>
      <t xml:space="preserve">      (FI)</t>
    </r>
  </si>
  <si>
    <t>Input data required from the user but restricted</t>
  </si>
  <si>
    <t>to options provided in drop-down menus.</t>
  </si>
  <si>
    <t>Required input data as identified in the HSM.</t>
  </si>
  <si>
    <t>Optional input data that can be used to</t>
  </si>
  <si>
    <t>supplement the analysis if this information</t>
  </si>
  <si>
    <t>reserved for locally-derived crash information.</t>
  </si>
  <si>
    <t>derived input also include a drop-down menu</t>
  </si>
  <si>
    <t>Required input data as identified</t>
  </si>
  <si>
    <t>is available.  This optional input data is</t>
  </si>
  <si>
    <t>Lapproach3</t>
  </si>
  <si>
    <t>Lapproach4</t>
  </si>
  <si>
    <t>Release date:  2/29/2024</t>
  </si>
  <si>
    <t>Worksheet Cell Protection</t>
  </si>
  <si>
    <t>Worksheet cells that are not used for input data are locked and</t>
  </si>
  <si>
    <t>protected to prevent accidental alteration and introduction of errors</t>
  </si>
  <si>
    <t>into the calculation results.  The protection can be deactivated using the</t>
  </si>
  <si>
    <t>"Unprotect Sheet" command button in the Review ribbon if necessary.</t>
  </si>
  <si>
    <t>Segments 1-2 and intersections 1-2 are linked to the analysis worksheets.  Segments 3-8 and intersections 3-8 are described with manual data entry.  Enter a description in the green cells for every row needed to describe the analyzed facility.  Clear the green cells on unneeded rows.</t>
  </si>
  <si>
    <t>FI</t>
  </si>
  <si>
    <t>PDO</t>
  </si>
  <si>
    <r>
      <t>Observed crashes,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>N</t>
    </r>
    <r>
      <rPr>
        <b/>
        <vertAlign val="subscript"/>
        <sz val="10"/>
        <rFont val="Arial"/>
        <family val="2"/>
      </rPr>
      <t>observed</t>
    </r>
    <r>
      <rPr>
        <sz val="10"/>
        <rFont val="Arial"/>
        <family val="2"/>
      </rPr>
      <t xml:space="preserve"> (crashes/year)</t>
    </r>
  </si>
  <si>
    <r>
      <t>Predicted average crash frequency, N</t>
    </r>
    <r>
      <rPr>
        <b/>
        <vertAlign val="subscript"/>
        <sz val="10"/>
        <rFont val="Arial"/>
        <family val="2"/>
      </rPr>
      <t>predicted</t>
    </r>
    <r>
      <rPr>
        <sz val="10"/>
        <rFont val="Arial"/>
        <family val="2"/>
      </rPr>
      <t xml:space="preserve"> (crashes/year)</t>
    </r>
  </si>
  <si>
    <r>
      <t>Expected average crash frequency, N</t>
    </r>
    <r>
      <rPr>
        <b/>
        <vertAlign val="subscript"/>
        <sz val="10"/>
        <rFont val="Arial"/>
        <family val="2"/>
      </rPr>
      <t>expected</t>
    </r>
    <r>
      <rPr>
        <sz val="10"/>
        <rFont val="Arial"/>
        <family val="2"/>
      </rPr>
      <t xml:space="preserve"> (crashes/year)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</si>
</sst>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rgb="FF002060"/>
      <name val="Arial"/>
      <family val="2"/>
    </font>
    <font>
      <b/>
      <u/>
      <sz val="10"/>
      <color rgb="FF002060"/>
      <name val="Arial"/>
      <family val="2"/>
    </font>
    <font>
      <sz val="10"/>
      <color theme="1"/>
      <name val="Arial"/>
      <family val="2"/>
    </font>
    <font>
      <b/>
      <i/>
      <vertAlign val="subscript"/>
      <sz val="10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u/>
      <sz val="9"/>
      <color indexed="81"/>
      <name val="Tahoma"/>
      <family val="2"/>
    </font>
    <font>
      <b/>
      <sz val="10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0E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</borders>
  <cellStyleXfs count="3">
    <xf numFmtId="0" fontId="0" fillId="0" borderId="0"/>
    <xf numFmtId="0" fontId="19" fillId="0" borderId="0"/>
    <xf numFmtId="0" fontId="22" fillId="0" borderId="0" applyNumberFormat="0" applyFill="0" applyBorder="0" applyAlignment="0" applyProtection="0"/>
  </cellStyleXfs>
  <cellXfs count="756">
    <xf numFmtId="0" fontId="0" fillId="0" borderId="0" xfId="0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0" fillId="0" borderId="7" xfId="0" quotePrefix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quotePrefix="1" applyBorder="1" applyAlignment="1">
      <alignment horizontal="center"/>
    </xf>
    <xf numFmtId="0" fontId="6" fillId="0" borderId="0" xfId="0" applyFont="1"/>
    <xf numFmtId="49" fontId="6" fillId="0" borderId="0" xfId="0" applyNumberFormat="1" applyFont="1"/>
    <xf numFmtId="49" fontId="0" fillId="0" borderId="0" xfId="0" applyNumberFormat="1"/>
    <xf numFmtId="0" fontId="3" fillId="0" borderId="0" xfId="0" applyFont="1"/>
    <xf numFmtId="49" fontId="3" fillId="0" borderId="0" xfId="0" applyNumberFormat="1" applyFont="1"/>
    <xf numFmtId="0" fontId="3" fillId="0" borderId="7" xfId="0" applyFont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3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5" fontId="0" fillId="0" borderId="13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21" xfId="0" applyBorder="1"/>
    <xf numFmtId="0" fontId="6" fillId="0" borderId="22" xfId="0" applyFont="1" applyBorder="1" applyAlignment="1">
      <alignment horizontal="center"/>
    </xf>
    <xf numFmtId="0" fontId="1" fillId="0" borderId="0" xfId="0" applyFont="1"/>
    <xf numFmtId="0" fontId="1" fillId="0" borderId="6" xfId="0" applyFont="1" applyBorder="1"/>
    <xf numFmtId="0" fontId="0" fillId="0" borderId="8" xfId="0" applyBorder="1"/>
    <xf numFmtId="0" fontId="1" fillId="0" borderId="22" xfId="0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19" xfId="0" applyBorder="1"/>
    <xf numFmtId="2" fontId="0" fillId="0" borderId="0" xfId="0" applyNumberFormat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0" borderId="23" xfId="0" applyBorder="1"/>
    <xf numFmtId="2" fontId="0" fillId="0" borderId="0" xfId="0" applyNumberFormat="1"/>
    <xf numFmtId="0" fontId="0" fillId="0" borderId="0" xfId="0" quotePrefix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quotePrefix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7" xfId="0" quotePrefix="1" applyFont="1" applyBorder="1" applyAlignment="1">
      <alignment horizontal="center" vertical="top"/>
    </xf>
    <xf numFmtId="0" fontId="1" fillId="0" borderId="2" xfId="0" quotePrefix="1" applyFont="1" applyBorder="1" applyAlignment="1">
      <alignment horizontal="center" vertical="top"/>
    </xf>
    <xf numFmtId="0" fontId="1" fillId="0" borderId="1" xfId="0" quotePrefix="1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19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7" xfId="0" applyFont="1" applyBorder="1"/>
    <xf numFmtId="0" fontId="3" fillId="0" borderId="7" xfId="0" applyFont="1" applyBorder="1" applyAlignment="1">
      <alignment horizontal="left"/>
    </xf>
    <xf numFmtId="164" fontId="0" fillId="0" borderId="7" xfId="0" applyNumberFormat="1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0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/>
    <xf numFmtId="164" fontId="1" fillId="0" borderId="7" xfId="0" applyNumberFormat="1" applyFont="1" applyBorder="1" applyAlignment="1">
      <alignment horizontal="center"/>
    </xf>
    <xf numFmtId="0" fontId="15" fillId="0" borderId="0" xfId="0" applyFont="1"/>
    <xf numFmtId="2" fontId="0" fillId="0" borderId="2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7" xfId="0" quotePrefix="1" applyFont="1" applyBorder="1" applyAlignment="1">
      <alignment horizontal="center"/>
    </xf>
    <xf numFmtId="49" fontId="1" fillId="0" borderId="0" xfId="0" applyNumberFormat="1" applyFont="1"/>
    <xf numFmtId="0" fontId="0" fillId="0" borderId="0" xfId="0" applyAlignment="1">
      <alignment vertical="top"/>
    </xf>
    <xf numFmtId="0" fontId="1" fillId="0" borderId="5" xfId="0" quotePrefix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 vertical="top"/>
    </xf>
    <xf numFmtId="2" fontId="1" fillId="0" borderId="0" xfId="0" quotePrefix="1" applyNumberFormat="1" applyFont="1" applyAlignment="1">
      <alignment horizontal="center" vertical="top"/>
    </xf>
    <xf numFmtId="166" fontId="0" fillId="0" borderId="7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7" xfId="0" quotePrefix="1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165" fontId="3" fillId="0" borderId="0" xfId="0" applyNumberFormat="1" applyFont="1" applyAlignment="1">
      <alignment horizontal="center" vertical="top"/>
    </xf>
    <xf numFmtId="2" fontId="1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166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6" fontId="1" fillId="0" borderId="20" xfId="0" quotePrefix="1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top"/>
    </xf>
    <xf numFmtId="0" fontId="1" fillId="0" borderId="0" xfId="0" quotePrefix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7" xfId="0" applyBorder="1" applyAlignment="1">
      <alignment horizontal="center"/>
    </xf>
    <xf numFmtId="164" fontId="0" fillId="0" borderId="20" xfId="0" applyNumberFormat="1" applyBorder="1" applyAlignment="1">
      <alignment horizontal="center" vertical="center"/>
    </xf>
    <xf numFmtId="2" fontId="1" fillId="0" borderId="0" xfId="0" quotePrefix="1" applyNumberFormat="1" applyFont="1" applyAlignment="1">
      <alignment horizontal="center" vertical="center"/>
    </xf>
    <xf numFmtId="0" fontId="1" fillId="0" borderId="8" xfId="0" quotePrefix="1" applyFont="1" applyBorder="1" applyAlignment="1">
      <alignment horizontal="center"/>
    </xf>
    <xf numFmtId="0" fontId="1" fillId="0" borderId="14" xfId="0" quotePrefix="1" applyFont="1" applyBorder="1" applyAlignment="1">
      <alignment horizontal="center"/>
    </xf>
    <xf numFmtId="0" fontId="0" fillId="0" borderId="0" xfId="0" applyAlignment="1">
      <alignment wrapText="1"/>
    </xf>
    <xf numFmtId="164" fontId="0" fillId="0" borderId="1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164" fontId="0" fillId="0" borderId="19" xfId="0" applyNumberFormat="1" applyBorder="1" applyAlignment="1">
      <alignment horizontal="center" vertical="top"/>
    </xf>
    <xf numFmtId="49" fontId="2" fillId="0" borderId="0" xfId="0" applyNumberFormat="1" applyFont="1"/>
    <xf numFmtId="49" fontId="0" fillId="0" borderId="21" xfId="0" applyNumberFormat="1" applyBorder="1"/>
    <xf numFmtId="0" fontId="1" fillId="3" borderId="28" xfId="0" applyFont="1" applyFill="1" applyBorder="1" applyAlignment="1">
      <alignment horizontal="right"/>
    </xf>
    <xf numFmtId="3" fontId="0" fillId="3" borderId="29" xfId="0" applyNumberFormat="1" applyFill="1" applyBorder="1" applyAlignment="1">
      <alignment horizontal="center"/>
    </xf>
    <xf numFmtId="0" fontId="1" fillId="3" borderId="30" xfId="0" applyFont="1" applyFill="1" applyBorder="1" applyAlignment="1">
      <alignment horizontal="left"/>
    </xf>
    <xf numFmtId="3" fontId="0" fillId="0" borderId="0" xfId="0" applyNumberFormat="1"/>
    <xf numFmtId="0" fontId="1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35" xfId="0" applyFont="1" applyBorder="1"/>
    <xf numFmtId="0" fontId="0" fillId="0" borderId="4" xfId="0" applyBorder="1"/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4" xfId="0" applyFont="1" applyBorder="1"/>
    <xf numFmtId="0" fontId="1" fillId="0" borderId="34" xfId="0" applyFont="1" applyBorder="1" applyAlignment="1">
      <alignment horizontal="center"/>
    </xf>
    <xf numFmtId="0" fontId="0" fillId="4" borderId="3" xfId="0" applyFill="1" applyBorder="1"/>
    <xf numFmtId="164" fontId="19" fillId="4" borderId="9" xfId="1" applyNumberFormat="1" applyFill="1" applyBorder="1"/>
    <xf numFmtId="164" fontId="3" fillId="4" borderId="18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 vertical="top"/>
    </xf>
    <xf numFmtId="2" fontId="3" fillId="4" borderId="2" xfId="0" applyNumberFormat="1" applyFont="1" applyFill="1" applyBorder="1" applyAlignment="1">
      <alignment horizontal="center" vertical="top"/>
    </xf>
    <xf numFmtId="0" fontId="0" fillId="0" borderId="18" xfId="0" applyBorder="1"/>
    <xf numFmtId="0" fontId="0" fillId="0" borderId="13" xfId="0" applyBorder="1"/>
    <xf numFmtId="0" fontId="1" fillId="0" borderId="13" xfId="0" applyFont="1" applyBorder="1"/>
    <xf numFmtId="164" fontId="0" fillId="0" borderId="0" xfId="0" applyNumberFormat="1" applyAlignment="1">
      <alignment horizontal="left"/>
    </xf>
    <xf numFmtId="164" fontId="0" fillId="0" borderId="13" xfId="0" applyNumberFormat="1" applyBorder="1" applyAlignment="1">
      <alignment horizontal="left"/>
    </xf>
    <xf numFmtId="0" fontId="0" fillId="0" borderId="35" xfId="0" applyBorder="1"/>
    <xf numFmtId="0" fontId="1" fillId="0" borderId="7" xfId="0" applyFont="1" applyBorder="1" applyAlignment="1">
      <alignment horizontal="right"/>
    </xf>
    <xf numFmtId="0" fontId="1" fillId="3" borderId="29" xfId="0" applyFont="1" applyFill="1" applyBorder="1" applyAlignment="1">
      <alignment horizontal="right"/>
    </xf>
    <xf numFmtId="0" fontId="22" fillId="5" borderId="43" xfId="2" applyFill="1" applyBorder="1" applyAlignment="1">
      <alignment horizontal="center"/>
    </xf>
    <xf numFmtId="0" fontId="0" fillId="0" borderId="0" xfId="0" applyProtection="1"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2" borderId="2" xfId="0" quotePrefix="1" applyFill="1" applyBorder="1" applyAlignment="1" applyProtection="1">
      <alignment horizontal="center"/>
      <protection locked="0"/>
    </xf>
    <xf numFmtId="166" fontId="1" fillId="0" borderId="7" xfId="0" applyNumberFormat="1" applyFont="1" applyBorder="1" applyAlignment="1">
      <alignment horizontal="center"/>
    </xf>
    <xf numFmtId="164" fontId="0" fillId="0" borderId="7" xfId="0" applyNumberFormat="1" applyBorder="1" applyAlignment="1" applyProtection="1">
      <alignment horizontal="center" vertical="top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3" fillId="4" borderId="8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1" fillId="0" borderId="17" xfId="0" quotePrefix="1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/>
    </xf>
    <xf numFmtId="0" fontId="1" fillId="0" borderId="61" xfId="0" quotePrefix="1" applyFont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0" fontId="1" fillId="0" borderId="60" xfId="0" quotePrefix="1" applyFont="1" applyBorder="1" applyAlignment="1">
      <alignment horizontal="center"/>
    </xf>
    <xf numFmtId="164" fontId="0" fillId="2" borderId="2" xfId="0" quotePrefix="1" applyNumberForma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49" fontId="1" fillId="0" borderId="0" xfId="0" quotePrefix="1" applyNumberFormat="1" applyFont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6" borderId="7" xfId="0" quotePrefix="1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164" fontId="0" fillId="6" borderId="7" xfId="0" applyNumberFormat="1" applyFill="1" applyBorder="1" applyAlignment="1" applyProtection="1">
      <alignment horizontal="center"/>
      <protection locked="0"/>
    </xf>
    <xf numFmtId="164" fontId="0" fillId="6" borderId="2" xfId="0" applyNumberFormat="1" applyFill="1" applyBorder="1" applyAlignment="1" applyProtection="1">
      <alignment horizontal="center"/>
      <protection locked="0"/>
    </xf>
    <xf numFmtId="164" fontId="0" fillId="6" borderId="7" xfId="0" applyNumberFormat="1" applyFill="1" applyBorder="1" applyAlignment="1" applyProtection="1">
      <alignment horizontal="center" vertical="top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164" fontId="0" fillId="6" borderId="3" xfId="0" applyNumberFormat="1" applyFill="1" applyBorder="1" applyAlignment="1" applyProtection="1">
      <alignment horizontal="center"/>
      <protection locked="0"/>
    </xf>
    <xf numFmtId="164" fontId="0" fillId="6" borderId="61" xfId="0" applyNumberFormat="1" applyFill="1" applyBorder="1" applyAlignment="1" applyProtection="1">
      <alignment horizontal="center"/>
      <protection locked="0"/>
    </xf>
    <xf numFmtId="1" fontId="0" fillId="6" borderId="17" xfId="0" applyNumberFormat="1" applyFill="1" applyBorder="1" applyAlignment="1" applyProtection="1">
      <alignment horizontal="center" vertical="center"/>
      <protection locked="0"/>
    </xf>
    <xf numFmtId="0" fontId="0" fillId="7" borderId="3" xfId="0" applyFill="1" applyBorder="1"/>
    <xf numFmtId="0" fontId="0" fillId="7" borderId="9" xfId="0" applyFill="1" applyBorder="1"/>
    <xf numFmtId="0" fontId="0" fillId="6" borderId="3" xfId="0" applyFill="1" applyBorder="1"/>
    <xf numFmtId="0" fontId="0" fillId="6" borderId="9" xfId="0" applyFill="1" applyBorder="1"/>
    <xf numFmtId="3" fontId="0" fillId="6" borderId="21" xfId="0" applyNumberFormat="1" applyFill="1" applyBorder="1" applyAlignment="1" applyProtection="1">
      <alignment horizontal="center"/>
      <protection locked="0"/>
    </xf>
    <xf numFmtId="0" fontId="0" fillId="8" borderId="3" xfId="0" applyFill="1" applyBorder="1"/>
    <xf numFmtId="0" fontId="0" fillId="8" borderId="9" xfId="0" applyFill="1" applyBorder="1"/>
    <xf numFmtId="165" fontId="0" fillId="8" borderId="3" xfId="0" applyNumberFormat="1" applyFill="1" applyBorder="1" applyAlignment="1" applyProtection="1">
      <alignment horizontal="center"/>
      <protection locked="0"/>
    </xf>
    <xf numFmtId="165" fontId="0" fillId="8" borderId="12" xfId="0" applyNumberFormat="1" applyFill="1" applyBorder="1" applyAlignment="1" applyProtection="1">
      <alignment horizontal="center"/>
      <protection locked="0"/>
    </xf>
    <xf numFmtId="165" fontId="0" fillId="8" borderId="0" xfId="0" applyNumberFormat="1" applyFill="1" applyAlignment="1" applyProtection="1">
      <alignment horizontal="center"/>
      <protection locked="0"/>
    </xf>
    <xf numFmtId="164" fontId="0" fillId="8" borderId="2" xfId="0" applyNumberFormat="1" applyFill="1" applyBorder="1" applyAlignment="1" applyProtection="1">
      <alignment horizontal="center"/>
      <protection locked="0"/>
    </xf>
    <xf numFmtId="2" fontId="0" fillId="8" borderId="0" xfId="0" applyNumberFormat="1" applyFill="1" applyAlignment="1" applyProtection="1">
      <alignment horizontal="center"/>
      <protection locked="0"/>
    </xf>
    <xf numFmtId="2" fontId="0" fillId="8" borderId="35" xfId="0" applyNumberFormat="1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14" xfId="0" applyFill="1" applyBorder="1" applyAlignment="1" applyProtection="1">
      <alignment horizontal="center"/>
      <protection locked="0"/>
    </xf>
    <xf numFmtId="164" fontId="0" fillId="8" borderId="7" xfId="0" applyNumberFormat="1" applyFill="1" applyBorder="1" applyAlignment="1" applyProtection="1">
      <alignment horizontal="center"/>
      <protection locked="0"/>
    </xf>
    <xf numFmtId="164" fontId="0" fillId="8" borderId="8" xfId="0" applyNumberFormat="1" applyFill="1" applyBorder="1" applyAlignment="1" applyProtection="1">
      <alignment horizontal="center"/>
      <protection locked="0"/>
    </xf>
    <xf numFmtId="164" fontId="0" fillId="8" borderId="14" xfId="0" applyNumberFormat="1" applyFill="1" applyBorder="1" applyAlignment="1" applyProtection="1">
      <alignment horizontal="center"/>
      <protection locked="0"/>
    </xf>
    <xf numFmtId="165" fontId="0" fillId="8" borderId="13" xfId="0" applyNumberFormat="1" applyFill="1" applyBorder="1" applyAlignment="1" applyProtection="1">
      <alignment horizontal="center"/>
      <protection locked="0"/>
    </xf>
    <xf numFmtId="165" fontId="0" fillId="8" borderId="15" xfId="0" applyNumberFormat="1" applyFill="1" applyBorder="1" applyAlignment="1" applyProtection="1">
      <alignment horizontal="center"/>
      <protection locked="0"/>
    </xf>
    <xf numFmtId="165" fontId="0" fillId="8" borderId="27" xfId="0" applyNumberFormat="1" applyFill="1" applyBorder="1" applyAlignment="1" applyProtection="1">
      <alignment horizontal="center"/>
      <protection locked="0"/>
    </xf>
    <xf numFmtId="165" fontId="0" fillId="8" borderId="26" xfId="0" applyNumberFormat="1" applyFill="1" applyBorder="1" applyAlignment="1" applyProtection="1">
      <alignment horizontal="center"/>
      <protection locked="0"/>
    </xf>
    <xf numFmtId="165" fontId="6" fillId="8" borderId="15" xfId="0" applyNumberFormat="1" applyFont="1" applyFill="1" applyBorder="1" applyAlignment="1" applyProtection="1">
      <alignment horizontal="center"/>
      <protection locked="0"/>
    </xf>
    <xf numFmtId="0" fontId="0" fillId="9" borderId="3" xfId="0" applyFill="1" applyBorder="1"/>
    <xf numFmtId="0" fontId="0" fillId="9" borderId="9" xfId="0" applyFill="1" applyBorder="1"/>
    <xf numFmtId="0" fontId="0" fillId="9" borderId="8" xfId="0" applyFill="1" applyBorder="1" applyAlignment="1" applyProtection="1">
      <alignment horizontal="center"/>
      <protection locked="0"/>
    </xf>
    <xf numFmtId="0" fontId="0" fillId="9" borderId="21" xfId="0" applyFill="1" applyBorder="1" applyAlignment="1" applyProtection="1">
      <alignment horizontal="center"/>
      <protection locked="0"/>
    </xf>
    <xf numFmtId="0" fontId="0" fillId="9" borderId="50" xfId="0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  <protection locked="0"/>
    </xf>
    <xf numFmtId="0" fontId="0" fillId="9" borderId="7" xfId="0" applyFill="1" applyBorder="1" applyAlignment="1" applyProtection="1">
      <alignment horizontal="center"/>
      <protection locked="0"/>
    </xf>
    <xf numFmtId="0" fontId="0" fillId="7" borderId="7" xfId="0" applyFill="1" applyBorder="1" applyProtection="1">
      <protection locked="0"/>
    </xf>
    <xf numFmtId="0" fontId="1" fillId="7" borderId="7" xfId="0" applyFon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3" xfId="0" applyFill="1" applyBorder="1" applyProtection="1">
      <protection locked="0"/>
    </xf>
    <xf numFmtId="164" fontId="0" fillId="2" borderId="7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2" xfId="0" quotePrefix="1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 vertical="center"/>
    </xf>
    <xf numFmtId="0" fontId="24" fillId="0" borderId="0" xfId="0" applyFont="1"/>
    <xf numFmtId="164" fontId="0" fillId="0" borderId="3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2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4" xfId="0" applyFont="1" applyBorder="1"/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1" fillId="7" borderId="13" xfId="0" applyFont="1" applyFill="1" applyBorder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0" fontId="0" fillId="7" borderId="32" xfId="0" applyFill="1" applyBorder="1" applyProtection="1">
      <protection locked="0"/>
    </xf>
    <xf numFmtId="0" fontId="0" fillId="0" borderId="13" xfId="0" applyBorder="1"/>
    <xf numFmtId="14" fontId="0" fillId="7" borderId="13" xfId="0" applyNumberFormat="1" applyFill="1" applyBorder="1" applyAlignment="1" applyProtection="1">
      <alignment horizontal="center"/>
      <protection locked="0"/>
    </xf>
    <xf numFmtId="14" fontId="0" fillId="7" borderId="0" xfId="0" applyNumberFormat="1" applyFill="1" applyProtection="1">
      <protection locked="0"/>
    </xf>
    <xf numFmtId="14" fontId="0" fillId="7" borderId="32" xfId="0" applyNumberFormat="1" applyFill="1" applyBorder="1" applyProtection="1">
      <protection locked="0"/>
    </xf>
    <xf numFmtId="0" fontId="3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/>
    <xf numFmtId="0" fontId="3" fillId="0" borderId="3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/>
    <xf numFmtId="0" fontId="0" fillId="0" borderId="37" xfId="0" applyBorder="1"/>
    <xf numFmtId="0" fontId="1" fillId="7" borderId="12" xfId="0" applyFont="1" applyFill="1" applyBorder="1" applyAlignment="1" applyProtection="1">
      <alignment horizontal="center"/>
      <protection locked="0"/>
    </xf>
    <xf numFmtId="0" fontId="0" fillId="7" borderId="11" xfId="0" applyFill="1" applyBorder="1" applyProtection="1">
      <protection locked="0"/>
    </xf>
    <xf numFmtId="0" fontId="0" fillId="7" borderId="37" xfId="0" applyFill="1" applyBorder="1" applyProtection="1">
      <protection locked="0"/>
    </xf>
    <xf numFmtId="0" fontId="0" fillId="0" borderId="12" xfId="0" applyBorder="1"/>
    <xf numFmtId="0" fontId="0" fillId="0" borderId="21" xfId="0" applyBorder="1"/>
    <xf numFmtId="0" fontId="0" fillId="0" borderId="6" xfId="0" applyBorder="1"/>
    <xf numFmtId="0" fontId="0" fillId="0" borderId="12" xfId="0" quotePrefix="1" applyBorder="1" applyAlignment="1">
      <alignment horizontal="center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1" xfId="0" applyFill="1" applyBorder="1" applyProtection="1">
      <protection locked="0"/>
    </xf>
    <xf numFmtId="0" fontId="0" fillId="0" borderId="8" xfId="0" quotePrefix="1" applyBorder="1" applyAlignment="1">
      <alignment horizontal="center"/>
    </xf>
    <xf numFmtId="3" fontId="0" fillId="6" borderId="8" xfId="0" applyNumberFormat="1" applyFill="1" applyBorder="1" applyAlignment="1" applyProtection="1">
      <alignment horizontal="center"/>
      <protection locked="0"/>
    </xf>
    <xf numFmtId="3" fontId="0" fillId="6" borderId="21" xfId="0" applyNumberFormat="1" applyFill="1" applyBorder="1" applyProtection="1">
      <protection locked="0"/>
    </xf>
    <xf numFmtId="0" fontId="6" fillId="7" borderId="39" xfId="0" applyFont="1" applyFill="1" applyBorder="1" applyAlignment="1" applyProtection="1">
      <alignment horizontal="center"/>
      <protection locked="0"/>
    </xf>
    <xf numFmtId="0" fontId="0" fillId="7" borderId="24" xfId="0" applyFill="1" applyBorder="1" applyProtection="1">
      <protection locked="0"/>
    </xf>
    <xf numFmtId="0" fontId="3" fillId="0" borderId="2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5" borderId="21" xfId="0" applyFill="1" applyBorder="1"/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5" fontId="1" fillId="6" borderId="8" xfId="0" applyNumberFormat="1" applyFont="1" applyFill="1" applyBorder="1" applyAlignment="1" applyProtection="1">
      <alignment horizontal="center"/>
      <protection locked="0"/>
    </xf>
    <xf numFmtId="165" fontId="0" fillId="6" borderId="21" xfId="0" applyNumberFormat="1" applyFill="1" applyBorder="1" applyProtection="1">
      <protection locked="0"/>
    </xf>
    <xf numFmtId="0" fontId="1" fillId="0" borderId="8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21" xfId="0" applyFont="1" applyBorder="1"/>
    <xf numFmtId="0" fontId="0" fillId="9" borderId="8" xfId="0" applyFill="1" applyBorder="1" applyAlignment="1" applyProtection="1">
      <alignment horizontal="center"/>
      <protection locked="0"/>
    </xf>
    <xf numFmtId="0" fontId="0" fillId="9" borderId="21" xfId="0" applyFill="1" applyBorder="1" applyProtection="1"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21" xfId="0" applyFill="1" applyBorder="1" applyProtection="1">
      <protection locked="0"/>
    </xf>
    <xf numFmtId="0" fontId="6" fillId="0" borderId="21" xfId="0" applyFont="1" applyBorder="1"/>
    <xf numFmtId="0" fontId="1" fillId="0" borderId="8" xfId="0" applyFont="1" applyBorder="1" applyAlignment="1">
      <alignment horizontal="center"/>
    </xf>
    <xf numFmtId="0" fontId="1" fillId="0" borderId="40" xfId="0" applyFont="1" applyBorder="1"/>
    <xf numFmtId="0" fontId="0" fillId="0" borderId="40" xfId="0" applyBorder="1"/>
    <xf numFmtId="0" fontId="0" fillId="0" borderId="41" xfId="0" applyBorder="1"/>
    <xf numFmtId="2" fontId="0" fillId="0" borderId="42" xfId="0" applyNumberFormat="1" applyBorder="1" applyAlignment="1">
      <alignment horizontal="center"/>
    </xf>
    <xf numFmtId="2" fontId="0" fillId="0" borderId="41" xfId="0" applyNumberFormat="1" applyBorder="1"/>
    <xf numFmtId="2" fontId="0" fillId="8" borderId="42" xfId="0" applyNumberFormat="1" applyFill="1" applyBorder="1" applyAlignment="1" applyProtection="1">
      <alignment horizontal="center"/>
      <protection locked="0"/>
    </xf>
    <xf numFmtId="0" fontId="0" fillId="8" borderId="40" xfId="0" applyFill="1" applyBorder="1" applyProtection="1">
      <protection locked="0"/>
    </xf>
    <xf numFmtId="0" fontId="0" fillId="0" borderId="24" xfId="0" applyBorder="1"/>
    <xf numFmtId="0" fontId="0" fillId="0" borderId="38" xfId="0" applyBorder="1"/>
    <xf numFmtId="0" fontId="22" fillId="5" borderId="21" xfId="2" applyFill="1" applyBorder="1" applyAlignment="1">
      <alignment horizontal="center"/>
    </xf>
    <xf numFmtId="0" fontId="22" fillId="5" borderId="6" xfId="2" applyFill="1" applyBorder="1" applyAlignment="1">
      <alignment horizontal="center"/>
    </xf>
    <xf numFmtId="0" fontId="1" fillId="5" borderId="21" xfId="0" applyFont="1" applyFill="1" applyBorder="1" applyAlignment="1">
      <alignment horizontal="left"/>
    </xf>
    <xf numFmtId="0" fontId="0" fillId="0" borderId="37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1" xfId="0" quotePrefix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24" xfId="0" quotePrefix="1" applyBorder="1" applyAlignment="1">
      <alignment horizontal="center"/>
    </xf>
    <xf numFmtId="0" fontId="0" fillId="0" borderId="39" xfId="0" quotePrefix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quotePrefix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/>
    <xf numFmtId="164" fontId="3" fillId="4" borderId="8" xfId="0" applyNumberFormat="1" applyFont="1" applyFill="1" applyBorder="1" applyAlignment="1">
      <alignment horizontal="center"/>
    </xf>
    <xf numFmtId="164" fontId="3" fillId="4" borderId="2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4" xfId="0" quotePrefix="1" applyBorder="1" applyAlignment="1">
      <alignment horizontal="center"/>
    </xf>
    <xf numFmtId="0" fontId="0" fillId="0" borderId="4" xfId="0" applyBorder="1"/>
    <xf numFmtId="0" fontId="0" fillId="0" borderId="5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36" xfId="0" quotePrefix="1" applyBorder="1" applyAlignment="1">
      <alignment horizontal="center"/>
    </xf>
    <xf numFmtId="0" fontId="0" fillId="0" borderId="33" xfId="0" quotePrefix="1" applyBorder="1" applyAlignment="1">
      <alignment horizontal="center"/>
    </xf>
    <xf numFmtId="0" fontId="0" fillId="0" borderId="19" xfId="0" quotePrefix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quotePrefix="1" applyBorder="1" applyAlignment="1">
      <alignment horizontal="center"/>
    </xf>
    <xf numFmtId="0" fontId="0" fillId="0" borderId="22" xfId="0" applyBorder="1"/>
    <xf numFmtId="164" fontId="0" fillId="0" borderId="14" xfId="0" applyNumberFormat="1" applyBorder="1" applyAlignment="1">
      <alignment horizontal="center"/>
    </xf>
    <xf numFmtId="164" fontId="0" fillId="0" borderId="22" xfId="0" applyNumberFormat="1" applyBorder="1"/>
    <xf numFmtId="164" fontId="0" fillId="0" borderId="22" xfId="0" applyNumberFormat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 wrapText="1"/>
    </xf>
    <xf numFmtId="0" fontId="0" fillId="0" borderId="21" xfId="0" quotePrefix="1" applyBorder="1" applyAlignment="1">
      <alignment horizontal="center" vertical="center" wrapText="1"/>
    </xf>
    <xf numFmtId="0" fontId="0" fillId="0" borderId="22" xfId="0" quotePrefix="1" applyBorder="1" applyAlignment="1">
      <alignment horizontal="center"/>
    </xf>
    <xf numFmtId="0" fontId="0" fillId="0" borderId="18" xfId="0" applyBorder="1"/>
    <xf numFmtId="0" fontId="0" fillId="0" borderId="25" xfId="0" applyBorder="1"/>
    <xf numFmtId="0" fontId="0" fillId="0" borderId="18" xfId="0" quotePrefix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quotePrefix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0" xfId="0" applyBorder="1"/>
    <xf numFmtId="164" fontId="0" fillId="0" borderId="10" xfId="0" applyNumberFormat="1" applyBorder="1" applyAlignment="1">
      <alignment horizontal="center"/>
    </xf>
    <xf numFmtId="0" fontId="0" fillId="0" borderId="19" xfId="0" applyBorder="1"/>
    <xf numFmtId="0" fontId="0" fillId="0" borderId="33" xfId="0" applyBorder="1"/>
    <xf numFmtId="0" fontId="1" fillId="0" borderId="10" xfId="0" applyFont="1" applyBorder="1"/>
    <xf numFmtId="0" fontId="0" fillId="0" borderId="21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32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0" fillId="9" borderId="21" xfId="0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 horizontal="center"/>
    </xf>
    <xf numFmtId="165" fontId="3" fillId="4" borderId="22" xfId="0" applyNumberFormat="1" applyFon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6" xfId="0" applyBorder="1" applyAlignment="1">
      <alignment horizontal="left"/>
    </xf>
    <xf numFmtId="165" fontId="3" fillId="4" borderId="8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3" fillId="0" borderId="2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5" fillId="0" borderId="19" xfId="0" applyFont="1" applyBorder="1" applyAlignment="1">
      <alignment vertical="center" wrapText="1"/>
    </xf>
    <xf numFmtId="0" fontId="3" fillId="0" borderId="19" xfId="0" applyFont="1" applyBorder="1"/>
    <xf numFmtId="0" fontId="3" fillId="0" borderId="33" xfId="0" applyFont="1" applyBorder="1"/>
    <xf numFmtId="0" fontId="3" fillId="0" borderId="24" xfId="0" applyFont="1" applyBorder="1"/>
    <xf numFmtId="0" fontId="3" fillId="0" borderId="38" xfId="0" applyFont="1" applyBorder="1"/>
    <xf numFmtId="3" fontId="0" fillId="6" borderId="21" xfId="0" applyNumberForma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3" fillId="0" borderId="23" xfId="0" applyFont="1" applyBorder="1" applyAlignment="1">
      <alignment horizontal="center" wrapText="1"/>
    </xf>
    <xf numFmtId="49" fontId="6" fillId="0" borderId="46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165" fontId="0" fillId="0" borderId="20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165" fontId="0" fillId="0" borderId="44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49" fontId="6" fillId="0" borderId="37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 horizontal="left"/>
    </xf>
    <xf numFmtId="49" fontId="6" fillId="0" borderId="44" xfId="0" applyNumberFormat="1" applyFont="1" applyBorder="1" applyAlignment="1">
      <alignment horizontal="left"/>
    </xf>
    <xf numFmtId="165" fontId="0" fillId="8" borderId="0" xfId="0" applyNumberFormat="1" applyFill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8" xfId="0" applyBorder="1" applyAlignment="1">
      <alignment wrapText="1"/>
    </xf>
    <xf numFmtId="0" fontId="3" fillId="0" borderId="7" xfId="0" applyFont="1" applyBorder="1" applyAlignment="1">
      <alignment horizontal="center" wrapText="1"/>
    </xf>
    <xf numFmtId="164" fontId="0" fillId="8" borderId="2" xfId="0" applyNumberFormat="1" applyFill="1" applyBorder="1" applyAlignment="1" applyProtection="1">
      <alignment horizontal="center"/>
      <protection locked="0"/>
    </xf>
    <xf numFmtId="164" fontId="6" fillId="8" borderId="2" xfId="0" applyNumberFormat="1" applyFont="1" applyFill="1" applyBorder="1" applyAlignment="1" applyProtection="1">
      <alignment horizontal="center"/>
      <protection locked="0"/>
    </xf>
    <xf numFmtId="164" fontId="6" fillId="8" borderId="2" xfId="0" applyNumberFormat="1" applyFont="1" applyFill="1" applyBorder="1" applyProtection="1">
      <protection locked="0"/>
    </xf>
    <xf numFmtId="164" fontId="0" fillId="8" borderId="14" xfId="0" applyNumberFormat="1" applyFill="1" applyBorder="1" applyProtection="1">
      <protection locked="0"/>
    </xf>
    <xf numFmtId="0" fontId="3" fillId="0" borderId="12" xfId="0" applyFont="1" applyBorder="1" applyAlignment="1">
      <alignment horizontal="center" wrapText="1"/>
    </xf>
    <xf numFmtId="0" fontId="0" fillId="0" borderId="39" xfId="0" applyBorder="1"/>
    <xf numFmtId="0" fontId="0" fillId="0" borderId="7" xfId="0" applyBorder="1"/>
    <xf numFmtId="16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/>
    <xf numFmtId="164" fontId="0" fillId="0" borderId="2" xfId="0" applyNumberFormat="1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" xfId="0" applyBorder="1" applyAlignment="1">
      <alignment horizontal="center"/>
    </xf>
    <xf numFmtId="49" fontId="3" fillId="0" borderId="23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65" fontId="6" fillId="0" borderId="2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165" fontId="0" fillId="8" borderId="3" xfId="0" applyNumberFormat="1" applyFill="1" applyBorder="1" applyAlignment="1" applyProtection="1">
      <alignment horizontal="center"/>
      <protection locked="0"/>
    </xf>
    <xf numFmtId="165" fontId="0" fillId="8" borderId="12" xfId="0" applyNumberFormat="1" applyFill="1" applyBorder="1" applyAlignment="1" applyProtection="1">
      <alignment horizontal="center"/>
      <protection locked="0"/>
    </xf>
    <xf numFmtId="165" fontId="6" fillId="0" borderId="7" xfId="0" applyNumberFormat="1" applyFont="1" applyBorder="1" applyAlignment="1">
      <alignment horizontal="center"/>
    </xf>
    <xf numFmtId="165" fontId="0" fillId="8" borderId="7" xfId="0" applyNumberFormat="1" applyFill="1" applyBorder="1" applyAlignment="1" applyProtection="1">
      <alignment horizontal="center"/>
      <protection locked="0"/>
    </xf>
    <xf numFmtId="165" fontId="0" fillId="8" borderId="8" xfId="0" applyNumberForma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1" fillId="0" borderId="33" xfId="0" quotePrefix="1" applyFont="1" applyBorder="1" applyAlignment="1">
      <alignment horizontal="center"/>
    </xf>
    <xf numFmtId="0" fontId="0" fillId="0" borderId="48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7" xfId="0" quotePrefix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48" xfId="0" quotePrefix="1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3" xfId="0" applyBorder="1" applyAlignment="1">
      <alignment wrapText="1"/>
    </xf>
    <xf numFmtId="164" fontId="0" fillId="0" borderId="14" xfId="0" applyNumberFormat="1" applyBorder="1" applyAlignment="1">
      <alignment horizontal="center" vertical="top"/>
    </xf>
    <xf numFmtId="164" fontId="0" fillId="0" borderId="22" xfId="0" applyNumberFormat="1" applyBorder="1" applyAlignment="1">
      <alignment horizontal="center" vertical="top"/>
    </xf>
    <xf numFmtId="164" fontId="3" fillId="4" borderId="14" xfId="0" applyNumberFormat="1" applyFont="1" applyFill="1" applyBorder="1" applyAlignment="1">
      <alignment horizontal="center" vertical="top"/>
    </xf>
    <xf numFmtId="164" fontId="3" fillId="4" borderId="10" xfId="0" applyNumberFormat="1" applyFont="1" applyFill="1" applyBorder="1" applyAlignment="1">
      <alignment horizontal="center" vertical="top"/>
    </xf>
    <xf numFmtId="164" fontId="3" fillId="4" borderId="8" xfId="0" applyNumberFormat="1" applyFont="1" applyFill="1" applyBorder="1" applyAlignment="1">
      <alignment horizontal="center" vertical="top"/>
    </xf>
    <xf numFmtId="164" fontId="3" fillId="4" borderId="21" xfId="0" applyNumberFormat="1" applyFont="1" applyFill="1" applyBorder="1" applyAlignment="1">
      <alignment horizontal="center" vertical="top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1" fillId="0" borderId="7" xfId="0" quotePrefix="1" applyFon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5" xfId="0" quotePrefix="1" applyFont="1" applyBorder="1" applyAlignment="1">
      <alignment horizontal="center"/>
    </xf>
    <xf numFmtId="2" fontId="0" fillId="0" borderId="14" xfId="0" applyNumberForma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3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5" xfId="0" applyBorder="1" applyAlignment="1">
      <alignment horizontal="center"/>
    </xf>
    <xf numFmtId="2" fontId="0" fillId="0" borderId="29" xfId="0" applyNumberFormat="1" applyBorder="1"/>
    <xf numFmtId="2" fontId="0" fillId="0" borderId="50" xfId="0" applyNumberFormat="1" applyBorder="1"/>
    <xf numFmtId="2" fontId="3" fillId="4" borderId="49" xfId="0" applyNumberFormat="1" applyFont="1" applyFill="1" applyBorder="1" applyAlignment="1">
      <alignment horizontal="center"/>
    </xf>
    <xf numFmtId="2" fontId="3" fillId="4" borderId="29" xfId="0" applyNumberFormat="1" applyFont="1" applyFill="1" applyBorder="1" applyAlignment="1">
      <alignment horizontal="center"/>
    </xf>
    <xf numFmtId="0" fontId="1" fillId="0" borderId="3" xfId="0" quotePrefix="1" applyFont="1" applyBorder="1" applyAlignment="1">
      <alignment horizontal="center" vertical="center" wrapText="1"/>
    </xf>
    <xf numFmtId="0" fontId="0" fillId="0" borderId="12" xfId="0" quotePrefix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2" fontId="0" fillId="0" borderId="19" xfId="0" applyNumberFormat="1" applyBorder="1"/>
    <xf numFmtId="2" fontId="0" fillId="0" borderId="8" xfId="0" applyNumberForma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quotePrefix="1" applyBorder="1" applyAlignment="1">
      <alignment horizontal="center"/>
    </xf>
    <xf numFmtId="164" fontId="0" fillId="0" borderId="7" xfId="0" applyNumberForma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164" fontId="0" fillId="0" borderId="8" xfId="0" applyNumberForma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0" fontId="1" fillId="0" borderId="2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/>
    <xf numFmtId="0" fontId="22" fillId="5" borderId="58" xfId="2" applyFill="1" applyBorder="1" applyAlignment="1">
      <alignment horizontal="center" vertical="center"/>
    </xf>
    <xf numFmtId="0" fontId="22" fillId="5" borderId="59" xfId="2" applyFill="1" applyBorder="1" applyAlignment="1">
      <alignment horizontal="center" vertical="center"/>
    </xf>
    <xf numFmtId="0" fontId="1" fillId="9" borderId="8" xfId="0" applyFont="1" applyFill="1" applyBorder="1" applyAlignment="1" applyProtection="1">
      <alignment horizontal="center"/>
      <protection locked="0"/>
    </xf>
    <xf numFmtId="3" fontId="1" fillId="0" borderId="8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" fillId="0" borderId="13" xfId="0" applyFont="1" applyBorder="1"/>
    <xf numFmtId="0" fontId="0" fillId="9" borderId="12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49" fontId="6" fillId="0" borderId="0" xfId="0" applyNumberFormat="1" applyFont="1" applyAlignment="1">
      <alignment horizontal="left"/>
    </xf>
    <xf numFmtId="49" fontId="6" fillId="0" borderId="32" xfId="0" applyNumberFormat="1" applyFont="1" applyBorder="1" applyAlignment="1">
      <alignment horizontal="left"/>
    </xf>
    <xf numFmtId="165" fontId="0" fillId="0" borderId="13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8" borderId="13" xfId="0" applyNumberFormat="1" applyFill="1" applyBorder="1" applyAlignment="1" applyProtection="1">
      <alignment horizontal="center"/>
      <protection locked="0"/>
    </xf>
    <xf numFmtId="165" fontId="0" fillId="8" borderId="32" xfId="0" applyNumberFormat="1" applyFill="1" applyBorder="1" applyAlignment="1" applyProtection="1">
      <alignment horizontal="center"/>
      <protection locked="0"/>
    </xf>
    <xf numFmtId="165" fontId="0" fillId="8" borderId="37" xfId="0" applyNumberFormat="1" applyFill="1" applyBorder="1" applyAlignment="1" applyProtection="1">
      <alignment horizontal="center"/>
      <protection locked="0"/>
    </xf>
    <xf numFmtId="165" fontId="0" fillId="8" borderId="11" xfId="0" applyNumberFormat="1" applyFill="1" applyBorder="1" applyAlignment="1" applyProtection="1">
      <alignment horizontal="center"/>
      <protection locked="0"/>
    </xf>
    <xf numFmtId="49" fontId="6" fillId="0" borderId="11" xfId="0" applyNumberFormat="1" applyFont="1" applyBorder="1" applyAlignment="1">
      <alignment horizontal="left"/>
    </xf>
    <xf numFmtId="165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3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65" fontId="0" fillId="0" borderId="55" xfId="0" applyNumberFormat="1" applyBorder="1" applyAlignment="1">
      <alignment horizontal="center"/>
    </xf>
    <xf numFmtId="165" fontId="0" fillId="0" borderId="57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165" fontId="0" fillId="8" borderId="27" xfId="0" applyNumberFormat="1" applyFill="1" applyBorder="1" applyAlignment="1" applyProtection="1">
      <alignment horizontal="center"/>
      <protection locked="0"/>
    </xf>
    <xf numFmtId="165" fontId="0" fillId="8" borderId="51" xfId="0" applyNumberFormat="1" applyFill="1" applyBorder="1" applyAlignment="1" applyProtection="1">
      <alignment horizontal="center"/>
      <protection locked="0"/>
    </xf>
    <xf numFmtId="165" fontId="0" fillId="8" borderId="52" xfId="0" applyNumberFormat="1" applyFill="1" applyBorder="1" applyAlignment="1" applyProtection="1">
      <alignment horizontal="center"/>
      <protection locked="0"/>
    </xf>
    <xf numFmtId="49" fontId="6" fillId="0" borderId="51" xfId="0" applyNumberFormat="1" applyFont="1" applyBorder="1" applyAlignment="1">
      <alignment horizontal="left"/>
    </xf>
    <xf numFmtId="49" fontId="6" fillId="0" borderId="52" xfId="0" applyNumberFormat="1" applyFont="1" applyBorder="1" applyAlignment="1">
      <alignment horizontal="left"/>
    </xf>
    <xf numFmtId="165" fontId="0" fillId="0" borderId="51" xfId="0" applyNumberFormat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49" fontId="6" fillId="0" borderId="56" xfId="0" applyNumberFormat="1" applyFont="1" applyBorder="1" applyAlignment="1">
      <alignment horizontal="left"/>
    </xf>
    <xf numFmtId="49" fontId="6" fillId="0" borderId="57" xfId="0" applyNumberFormat="1" applyFont="1" applyBorder="1" applyAlignment="1">
      <alignment horizontal="left"/>
    </xf>
    <xf numFmtId="49" fontId="6" fillId="0" borderId="54" xfId="0" applyNumberFormat="1" applyFont="1" applyBorder="1" applyAlignment="1">
      <alignment horizontal="left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5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0" xfId="0" applyFont="1"/>
    <xf numFmtId="165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2" xfId="0" applyNumberFormat="1" applyBorder="1" applyAlignment="1">
      <alignment horizontal="center"/>
    </xf>
    <xf numFmtId="164" fontId="1" fillId="8" borderId="7" xfId="0" applyNumberFormat="1" applyFont="1" applyFill="1" applyBorder="1" applyAlignment="1" applyProtection="1">
      <alignment horizontal="center"/>
      <protection locked="0"/>
    </xf>
    <xf numFmtId="164" fontId="1" fillId="8" borderId="8" xfId="0" applyNumberFormat="1" applyFont="1" applyFill="1" applyBorder="1" applyAlignment="1" applyProtection="1">
      <alignment horizontal="center"/>
      <protection locked="0"/>
    </xf>
    <xf numFmtId="164" fontId="1" fillId="8" borderId="2" xfId="0" applyNumberFormat="1" applyFont="1" applyFill="1" applyBorder="1" applyAlignment="1" applyProtection="1">
      <alignment horizontal="center"/>
      <protection locked="0"/>
    </xf>
    <xf numFmtId="164" fontId="1" fillId="8" borderId="14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49" fontId="0" fillId="0" borderId="29" xfId="0" applyNumberFormat="1" applyBorder="1"/>
    <xf numFmtId="0" fontId="0" fillId="0" borderId="50" xfId="0" applyBorder="1"/>
    <xf numFmtId="49" fontId="3" fillId="0" borderId="34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0" xfId="0" applyNumberFormat="1"/>
    <xf numFmtId="49" fontId="0" fillId="0" borderId="51" xfId="0" applyNumberFormat="1" applyBorder="1"/>
    <xf numFmtId="0" fontId="0" fillId="0" borderId="51" xfId="0" applyBorder="1"/>
    <xf numFmtId="0" fontId="0" fillId="0" borderId="52" xfId="0" applyBorder="1"/>
    <xf numFmtId="49" fontId="0" fillId="0" borderId="53" xfId="0" applyNumberFormat="1" applyBorder="1"/>
    <xf numFmtId="0" fontId="0" fillId="0" borderId="53" xfId="0" applyBorder="1"/>
    <xf numFmtId="0" fontId="0" fillId="0" borderId="46" xfId="0" applyBorder="1"/>
    <xf numFmtId="49" fontId="0" fillId="0" borderId="11" xfId="0" applyNumberFormat="1" applyBorder="1"/>
    <xf numFmtId="1" fontId="1" fillId="0" borderId="7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2" fontId="1" fillId="0" borderId="7" xfId="0" quotePrefix="1" applyNumberFormat="1" applyFont="1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1" fillId="0" borderId="8" xfId="0" quotePrefix="1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0" fillId="0" borderId="5" xfId="0" applyBorder="1"/>
    <xf numFmtId="0" fontId="3" fillId="0" borderId="34" xfId="0" applyFont="1" applyBorder="1" applyAlignment="1">
      <alignment horizontal="center" vertical="center"/>
    </xf>
    <xf numFmtId="0" fontId="0" fillId="0" borderId="34" xfId="0" applyBorder="1"/>
    <xf numFmtId="0" fontId="0" fillId="0" borderId="23" xfId="0" applyBorder="1" applyAlignment="1">
      <alignment wrapText="1"/>
    </xf>
    <xf numFmtId="0" fontId="0" fillId="0" borderId="35" xfId="0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vertical="top"/>
    </xf>
    <xf numFmtId="2" fontId="0" fillId="0" borderId="39" xfId="0" applyNumberFormat="1" applyBorder="1" applyAlignment="1">
      <alignment horizontal="center" vertical="top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0" fillId="0" borderId="39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46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3" fillId="0" borderId="2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1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/>
    </xf>
    <xf numFmtId="164" fontId="3" fillId="0" borderId="7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5" fontId="3" fillId="4" borderId="10" xfId="0" applyNumberFormat="1" applyFont="1" applyFill="1" applyBorder="1"/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2" fontId="1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3" fillId="4" borderId="8" xfId="0" applyNumberFormat="1" applyFont="1" applyFill="1" applyBorder="1" applyAlignment="1">
      <alignment horizontal="center" vertical="center"/>
    </xf>
    <xf numFmtId="0" fontId="3" fillId="4" borderId="21" xfId="0" applyFont="1" applyFill="1" applyBorder="1"/>
    <xf numFmtId="166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3" fillId="4" borderId="21" xfId="0" applyNumberFormat="1" applyFont="1" applyFill="1" applyBorder="1"/>
    <xf numFmtId="0" fontId="1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6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6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" xfId="0" applyBorder="1" applyAlignment="1">
      <alignment vertical="top"/>
    </xf>
    <xf numFmtId="0" fontId="3" fillId="0" borderId="7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Normal 3" xfId="1" xr:uid="{00000000-0005-0000-0000-000001000000}"/>
  </cellStyles>
  <dxfs count="39">
    <dxf>
      <font>
        <b/>
        <i val="0"/>
      </font>
      <fill>
        <patternFill>
          <bgColor rgb="FFFFCCFF"/>
        </patternFill>
      </fill>
    </dxf>
    <dxf>
      <font>
        <b val="0"/>
        <i val="0"/>
        <color theme="0" tint="-0.24994659260841701"/>
      </font>
      <fill>
        <patternFill patternType="solid">
          <bgColor theme="0" tint="-0.2499465926084170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rgb="FFFFCCFF"/>
        </patternFill>
      </fill>
    </dxf>
    <dxf>
      <font>
        <b val="0"/>
        <i val="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</font>
    </dxf>
    <dxf>
      <fill>
        <patternFill>
          <bgColor rgb="FF66FF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  <strike val="0"/>
      </font>
      <fill>
        <patternFill>
          <bgColor rgb="FF66FFFF"/>
        </patternFill>
      </fill>
    </dxf>
    <dxf>
      <font>
        <b val="0"/>
        <i val="0"/>
      </font>
    </dxf>
    <dxf>
      <font>
        <b/>
        <i val="0"/>
      </font>
      <fill>
        <patternFill>
          <bgColor rgb="FFFFCCFF"/>
        </patternFill>
      </fill>
    </dxf>
    <dxf>
      <fill>
        <patternFill>
          <bgColor rgb="FF66FFFF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  <strike val="0"/>
        <color theme="0" tint="-0.24994659260841701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rgb="FFFFCCFF"/>
        </patternFill>
      </fill>
    </dxf>
    <dxf>
      <font>
        <b val="0"/>
        <i val="0"/>
        <strike val="0"/>
      </font>
    </dxf>
    <dxf>
      <fill>
        <patternFill patternType="none">
          <bgColor auto="1"/>
        </patternFill>
      </fill>
    </dxf>
    <dxf>
      <font>
        <b/>
        <i val="0"/>
        <strike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strike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strike val="0"/>
        <color rgb="FFC00000"/>
      </font>
    </dxf>
    <dxf>
      <font>
        <b val="0"/>
        <i val="0"/>
        <strike val="0"/>
        <color theme="0" tint="-0.499984740745262"/>
      </font>
      <fill>
        <patternFill>
          <bgColor theme="0" tint="-0.24994659260841701"/>
        </patternFill>
      </fill>
    </dxf>
    <dxf>
      <font>
        <b val="0"/>
        <i val="0"/>
        <strike val="0"/>
        <color auto="1"/>
      </font>
      <fill>
        <patternFill>
          <bgColor theme="4" tint="0.39994506668294322"/>
        </patternFill>
      </fill>
    </dxf>
    <dxf>
      <font>
        <strike val="0"/>
        <color theme="0" tint="-0.499984740745262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>
          <bgColor rgb="FF66FFFF"/>
        </patternFill>
      </fill>
    </dxf>
    <dxf>
      <font>
        <b/>
        <i val="0"/>
        <color rgb="FFC00000"/>
      </font>
    </dxf>
    <dxf>
      <font>
        <b/>
        <i val="0"/>
        <strike val="0"/>
        <color rgb="FFC00000"/>
      </font>
    </dxf>
    <dxf>
      <font>
        <b val="0"/>
        <i val="0"/>
        <strike val="0"/>
        <color theme="0" tint="-0.499984740745262"/>
      </font>
      <fill>
        <patternFill>
          <bgColor theme="0" tint="-0.24994659260841701"/>
        </patternFill>
      </fill>
    </dxf>
    <dxf>
      <font>
        <b val="0"/>
        <i val="0"/>
        <strike val="0"/>
        <color auto="1"/>
      </font>
      <fill>
        <patternFill>
          <bgColor theme="4" tint="0.39994506668294322"/>
        </patternFill>
      </fill>
    </dxf>
    <dxf>
      <font>
        <strike val="0"/>
        <color theme="0" tint="-0.499984740745262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>
          <bgColor rgb="FF66FFFF"/>
        </patternFill>
      </fill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66FFFF"/>
      <color rgb="FFFFFF99"/>
      <color rgb="FF99FF99"/>
      <color rgb="FFFFCCFF"/>
      <color rgb="FFF0E442"/>
      <color rgb="FFE69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22860</xdr:colOff>
      <xdr:row>17</xdr:row>
      <xdr:rowOff>121920</xdr:rowOff>
    </xdr:from>
    <xdr:to>
      <xdr:col>19</xdr:col>
      <xdr:colOff>518160</xdr:colOff>
      <xdr:row>35</xdr:row>
      <xdr:rowOff>38100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B6C596B9-8364-C734-68FE-AE1DA6C4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0740" y="2225040"/>
          <a:ext cx="4038600" cy="306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22860</xdr:colOff>
      <xdr:row>17</xdr:row>
      <xdr:rowOff>121920</xdr:rowOff>
    </xdr:from>
    <xdr:to>
      <xdr:col>14</xdr:col>
      <xdr:colOff>4091940</xdr:colOff>
      <xdr:row>35</xdr:row>
      <xdr:rowOff>38100</xdr:rowOff>
    </xdr:to>
    <xdr:pic>
      <xdr:nvPicPr>
        <xdr:cNvPr id="3075" name="Picture 1">
          <a:extLst>
            <a:ext uri="{FF2B5EF4-FFF2-40B4-BE49-F238E27FC236}">
              <a16:creationId xmlns:a16="http://schemas.microsoft.com/office/drawing/2014/main" id="{DBBD21E9-599C-5154-1A70-AE91F565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0740" y="2225040"/>
          <a:ext cx="4069080" cy="306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hwa.dot.gov/publications/research/safety/99207/99207.pdf" TargetMode="External"/><Relationship Id="rId1" Type="http://schemas.openxmlformats.org/officeDocument/2006/relationships/hyperlink" Target="https://www.txdot.gov/apps/statewide_mapping/StatewidePlanningMap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xdot.gov/apps/statewide_mapping/StatewidePlanningMap.html" TargetMode="External"/><Relationship Id="rId1" Type="http://schemas.openxmlformats.org/officeDocument/2006/relationships/hyperlink" Target="https://www.fhwa.dot.gov/publications/research/safety/99207/99207.pdf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txdot.gov/apps/statewide_mapping/StatewidePlanningMap.html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hyperlink" Target="https://www.txdot.gov/apps/statewide_mapping/StatewidePlanningMap.html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87"/>
  <sheetViews>
    <sheetView tabSelected="1" workbookViewId="0"/>
  </sheetViews>
  <sheetFormatPr defaultRowHeight="13.2"/>
  <sheetData>
    <row r="2" spans="2:16">
      <c r="B2" s="250" t="s">
        <v>427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spans="2:16">
      <c r="B3" s="250" t="s">
        <v>522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</row>
    <row r="4" spans="2:16">
      <c r="B4" s="250" t="s">
        <v>582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6" spans="2:16">
      <c r="B6" s="88" t="s">
        <v>265</v>
      </c>
      <c r="K6" s="88" t="s">
        <v>266</v>
      </c>
    </row>
    <row r="8" spans="2:16">
      <c r="B8" s="51" t="s">
        <v>544</v>
      </c>
      <c r="K8" s="51" t="s">
        <v>565</v>
      </c>
    </row>
    <row r="9" spans="2:16">
      <c r="B9" s="51" t="s">
        <v>545</v>
      </c>
      <c r="K9" s="51" t="s">
        <v>478</v>
      </c>
    </row>
    <row r="10" spans="2:16">
      <c r="B10" s="51" t="s">
        <v>546</v>
      </c>
      <c r="K10" s="51" t="s">
        <v>548</v>
      </c>
    </row>
    <row r="11" spans="2:16">
      <c r="B11" s="51" t="s">
        <v>547</v>
      </c>
      <c r="K11" s="51" t="s">
        <v>549</v>
      </c>
    </row>
    <row r="12" spans="2:16">
      <c r="B12" s="51"/>
      <c r="K12" s="51" t="s">
        <v>550</v>
      </c>
    </row>
    <row r="13" spans="2:16">
      <c r="B13" s="51" t="s">
        <v>538</v>
      </c>
      <c r="K13" s="51" t="s">
        <v>479</v>
      </c>
    </row>
    <row r="14" spans="2:16">
      <c r="B14" s="51" t="s">
        <v>551</v>
      </c>
      <c r="K14" s="51"/>
    </row>
    <row r="15" spans="2:16">
      <c r="B15" s="51" t="s">
        <v>552</v>
      </c>
      <c r="K15" s="88" t="s">
        <v>267</v>
      </c>
      <c r="M15" s="88" t="s">
        <v>268</v>
      </c>
    </row>
    <row r="16" spans="2:16">
      <c r="B16" s="51" t="s">
        <v>553</v>
      </c>
    </row>
    <row r="17" spans="2:13">
      <c r="B17" s="51" t="s">
        <v>554</v>
      </c>
      <c r="K17" s="210"/>
      <c r="M17" s="51" t="s">
        <v>573</v>
      </c>
    </row>
    <row r="18" spans="2:13">
      <c r="B18" s="51" t="s">
        <v>555</v>
      </c>
      <c r="K18" s="211"/>
      <c r="M18" s="51"/>
    </row>
    <row r="19" spans="2:13">
      <c r="B19" s="51"/>
    </row>
    <row r="20" spans="2:13">
      <c r="B20" s="51" t="s">
        <v>556</v>
      </c>
      <c r="K20" s="231"/>
      <c r="M20" s="51" t="s">
        <v>571</v>
      </c>
    </row>
    <row r="21" spans="2:13">
      <c r="B21" s="51" t="s">
        <v>557</v>
      </c>
      <c r="K21" s="232"/>
      <c r="M21" s="51" t="s">
        <v>572</v>
      </c>
    </row>
    <row r="22" spans="2:13">
      <c r="B22" s="51" t="s">
        <v>558</v>
      </c>
      <c r="M22" s="51"/>
    </row>
    <row r="23" spans="2:13">
      <c r="K23" s="213"/>
      <c r="M23" s="51" t="s">
        <v>574</v>
      </c>
    </row>
    <row r="24" spans="2:13">
      <c r="B24" s="51" t="s">
        <v>539</v>
      </c>
      <c r="K24" s="214"/>
      <c r="M24" s="51" t="s">
        <v>575</v>
      </c>
    </row>
    <row r="25" spans="2:13">
      <c r="M25" s="51" t="s">
        <v>579</v>
      </c>
    </row>
    <row r="26" spans="2:13">
      <c r="B26" s="88" t="s">
        <v>269</v>
      </c>
      <c r="E26" s="88" t="s">
        <v>270</v>
      </c>
      <c r="M26" s="51" t="s">
        <v>576</v>
      </c>
    </row>
    <row r="27" spans="2:13">
      <c r="M27" s="51" t="s">
        <v>484</v>
      </c>
    </row>
    <row r="28" spans="2:13">
      <c r="B28" s="51" t="s">
        <v>271</v>
      </c>
      <c r="E28" s="51" t="s">
        <v>272</v>
      </c>
      <c r="M28" s="51" t="s">
        <v>485</v>
      </c>
    </row>
    <row r="29" spans="2:13">
      <c r="E29" s="51" t="s">
        <v>273</v>
      </c>
      <c r="M29" s="51" t="s">
        <v>486</v>
      </c>
    </row>
    <row r="30" spans="2:13">
      <c r="E30" s="51" t="s">
        <v>275</v>
      </c>
      <c r="M30" s="51" t="s">
        <v>540</v>
      </c>
    </row>
    <row r="31" spans="2:13">
      <c r="M31" s="51" t="s">
        <v>274</v>
      </c>
    </row>
    <row r="32" spans="2:13">
      <c r="B32" s="51" t="s">
        <v>343</v>
      </c>
      <c r="E32" s="51" t="s">
        <v>363</v>
      </c>
      <c r="M32" s="51" t="s">
        <v>480</v>
      </c>
    </row>
    <row r="33" spans="2:13">
      <c r="E33" s="51" t="s">
        <v>364</v>
      </c>
      <c r="M33" s="51" t="s">
        <v>577</v>
      </c>
    </row>
    <row r="34" spans="2:13">
      <c r="E34" s="51" t="s">
        <v>369</v>
      </c>
      <c r="M34" s="51" t="s">
        <v>541</v>
      </c>
    </row>
    <row r="35" spans="2:13">
      <c r="E35" s="51" t="s">
        <v>370</v>
      </c>
      <c r="M35" s="51" t="s">
        <v>487</v>
      </c>
    </row>
    <row r="36" spans="2:13">
      <c r="E36" s="51" t="s">
        <v>371</v>
      </c>
      <c r="M36" s="51" t="s">
        <v>276</v>
      </c>
    </row>
    <row r="37" spans="2:13">
      <c r="E37" s="51"/>
      <c r="M37" s="51" t="s">
        <v>277</v>
      </c>
    </row>
    <row r="38" spans="2:13">
      <c r="B38" s="51" t="s">
        <v>344</v>
      </c>
      <c r="E38" s="51" t="s">
        <v>353</v>
      </c>
    </row>
    <row r="39" spans="2:13">
      <c r="B39" s="51"/>
      <c r="E39" s="51" t="s">
        <v>354</v>
      </c>
      <c r="K39" s="208"/>
      <c r="M39" s="51" t="s">
        <v>488</v>
      </c>
    </row>
    <row r="40" spans="2:13">
      <c r="K40" s="209"/>
      <c r="M40" s="51" t="s">
        <v>489</v>
      </c>
    </row>
    <row r="41" spans="2:13">
      <c r="B41" s="51" t="s">
        <v>360</v>
      </c>
      <c r="E41" s="51" t="s">
        <v>362</v>
      </c>
    </row>
    <row r="42" spans="2:13">
      <c r="E42" s="51" t="s">
        <v>361</v>
      </c>
      <c r="K42" s="159"/>
      <c r="M42" s="51" t="s">
        <v>481</v>
      </c>
    </row>
    <row r="43" spans="2:13">
      <c r="E43" s="51" t="s">
        <v>423</v>
      </c>
      <c r="K43" s="160"/>
      <c r="M43" s="51" t="s">
        <v>482</v>
      </c>
    </row>
    <row r="44" spans="2:13">
      <c r="E44" s="51" t="s">
        <v>559</v>
      </c>
      <c r="M44" s="51" t="s">
        <v>483</v>
      </c>
    </row>
    <row r="45" spans="2:13">
      <c r="E45" s="51" t="s">
        <v>424</v>
      </c>
      <c r="M45" s="145"/>
    </row>
    <row r="46" spans="2:13">
      <c r="E46" s="51" t="s">
        <v>425</v>
      </c>
    </row>
    <row r="47" spans="2:13">
      <c r="K47" s="88" t="s">
        <v>523</v>
      </c>
    </row>
    <row r="48" spans="2:13">
      <c r="B48" s="51" t="s">
        <v>303</v>
      </c>
      <c r="E48" s="51" t="s">
        <v>365</v>
      </c>
    </row>
    <row r="49" spans="2:13">
      <c r="E49" s="51" t="s">
        <v>364</v>
      </c>
      <c r="K49" s="51" t="s">
        <v>524</v>
      </c>
    </row>
    <row r="50" spans="2:13">
      <c r="E50" s="51" t="s">
        <v>372</v>
      </c>
      <c r="K50" s="51" t="s">
        <v>525</v>
      </c>
    </row>
    <row r="51" spans="2:13">
      <c r="E51" s="51" t="s">
        <v>373</v>
      </c>
      <c r="K51" s="51" t="s">
        <v>526</v>
      </c>
    </row>
    <row r="52" spans="2:13">
      <c r="E52" s="51" t="s">
        <v>374</v>
      </c>
      <c r="K52" s="51" t="s">
        <v>527</v>
      </c>
    </row>
    <row r="53" spans="2:13">
      <c r="E53" s="51"/>
      <c r="K53" s="51"/>
    </row>
    <row r="54" spans="2:13">
      <c r="B54" s="51" t="s">
        <v>304</v>
      </c>
      <c r="E54" s="51" t="s">
        <v>355</v>
      </c>
      <c r="K54" s="210"/>
      <c r="M54" s="51" t="s">
        <v>578</v>
      </c>
    </row>
    <row r="55" spans="2:13">
      <c r="B55" s="51"/>
      <c r="E55" s="51" t="s">
        <v>356</v>
      </c>
      <c r="K55" s="232"/>
      <c r="M55" s="51" t="s">
        <v>528</v>
      </c>
    </row>
    <row r="56" spans="2:13">
      <c r="B56" s="51"/>
      <c r="E56" s="51"/>
    </row>
    <row r="57" spans="2:13">
      <c r="B57" s="51" t="s">
        <v>366</v>
      </c>
      <c r="E57" s="51" t="s">
        <v>367</v>
      </c>
    </row>
    <row r="58" spans="2:13">
      <c r="B58" s="51"/>
      <c r="E58" s="51" t="s">
        <v>368</v>
      </c>
      <c r="K58" s="88" t="s">
        <v>583</v>
      </c>
    </row>
    <row r="59" spans="2:13">
      <c r="B59" s="51"/>
      <c r="E59" s="51" t="s">
        <v>560</v>
      </c>
    </row>
    <row r="60" spans="2:13">
      <c r="B60" s="51"/>
      <c r="E60" s="51" t="s">
        <v>561</v>
      </c>
      <c r="K60" s="51" t="s">
        <v>584</v>
      </c>
    </row>
    <row r="61" spans="2:13">
      <c r="B61" s="51"/>
      <c r="E61" s="51" t="s">
        <v>424</v>
      </c>
      <c r="K61" s="51" t="s">
        <v>585</v>
      </c>
    </row>
    <row r="62" spans="2:13">
      <c r="B62" s="51"/>
      <c r="E62" s="51" t="s">
        <v>426</v>
      </c>
      <c r="K62" s="51" t="s">
        <v>586</v>
      </c>
    </row>
    <row r="63" spans="2:13">
      <c r="K63" s="51" t="s">
        <v>587</v>
      </c>
    </row>
    <row r="64" spans="2:13">
      <c r="B64" s="51" t="s">
        <v>345</v>
      </c>
      <c r="E64" s="51" t="s">
        <v>278</v>
      </c>
    </row>
    <row r="65" spans="2:12">
      <c r="E65" s="51" t="s">
        <v>346</v>
      </c>
    </row>
    <row r="66" spans="2:12">
      <c r="E66" s="51" t="s">
        <v>562</v>
      </c>
      <c r="K66" s="145" t="s">
        <v>438</v>
      </c>
      <c r="L66" s="145"/>
    </row>
    <row r="67" spans="2:12">
      <c r="E67" s="51" t="s">
        <v>542</v>
      </c>
      <c r="L67" t="s">
        <v>439</v>
      </c>
    </row>
    <row r="68" spans="2:12">
      <c r="E68" s="51" t="s">
        <v>347</v>
      </c>
      <c r="L68" s="51" t="s">
        <v>464</v>
      </c>
    </row>
    <row r="69" spans="2:12">
      <c r="E69" s="51" t="s">
        <v>563</v>
      </c>
      <c r="L69" s="51" t="s">
        <v>465</v>
      </c>
    </row>
    <row r="70" spans="2:12">
      <c r="E70" s="51" t="s">
        <v>348</v>
      </c>
      <c r="L70" s="51" t="s">
        <v>473</v>
      </c>
    </row>
    <row r="71" spans="2:12">
      <c r="E71" s="51"/>
      <c r="L71" s="51" t="s">
        <v>474</v>
      </c>
    </row>
    <row r="72" spans="2:12">
      <c r="B72" s="51" t="s">
        <v>349</v>
      </c>
      <c r="E72" s="51" t="s">
        <v>279</v>
      </c>
      <c r="L72" s="51" t="s">
        <v>466</v>
      </c>
    </row>
    <row r="73" spans="2:12">
      <c r="E73" s="51" t="s">
        <v>346</v>
      </c>
      <c r="L73" s="51" t="s">
        <v>467</v>
      </c>
    </row>
    <row r="74" spans="2:12">
      <c r="E74" s="51" t="s">
        <v>562</v>
      </c>
    </row>
    <row r="75" spans="2:12">
      <c r="E75" s="51" t="s">
        <v>543</v>
      </c>
    </row>
    <row r="76" spans="2:12">
      <c r="E76" s="51" t="s">
        <v>350</v>
      </c>
      <c r="K76" s="145" t="s">
        <v>468</v>
      </c>
      <c r="L76" s="145"/>
    </row>
    <row r="77" spans="2:12">
      <c r="E77" s="51" t="s">
        <v>351</v>
      </c>
      <c r="L77" s="51" t="s">
        <v>469</v>
      </c>
    </row>
    <row r="78" spans="2:12">
      <c r="E78" s="51" t="s">
        <v>564</v>
      </c>
      <c r="L78" s="51" t="s">
        <v>464</v>
      </c>
    </row>
    <row r="79" spans="2:12">
      <c r="E79" s="51" t="s">
        <v>352</v>
      </c>
      <c r="L79" s="51" t="s">
        <v>470</v>
      </c>
    </row>
    <row r="80" spans="2:12">
      <c r="L80" s="51" t="s">
        <v>473</v>
      </c>
    </row>
    <row r="81" spans="2:12">
      <c r="B81" s="51" t="s">
        <v>375</v>
      </c>
      <c r="E81" s="51" t="s">
        <v>280</v>
      </c>
      <c r="L81" s="51" t="s">
        <v>474</v>
      </c>
    </row>
    <row r="82" spans="2:12">
      <c r="E82" s="51" t="s">
        <v>281</v>
      </c>
      <c r="L82" s="51" t="s">
        <v>471</v>
      </c>
    </row>
    <row r="83" spans="2:12">
      <c r="E83" s="51" t="s">
        <v>282</v>
      </c>
      <c r="L83" s="51" t="s">
        <v>472</v>
      </c>
    </row>
    <row r="84" spans="2:12">
      <c r="E84" s="51" t="s">
        <v>283</v>
      </c>
    </row>
    <row r="85" spans="2:12">
      <c r="E85" s="51" t="s">
        <v>284</v>
      </c>
    </row>
    <row r="86" spans="2:12">
      <c r="E86" s="51" t="s">
        <v>285</v>
      </c>
    </row>
    <row r="87" spans="2:12">
      <c r="E87" s="51" t="s">
        <v>286</v>
      </c>
    </row>
  </sheetData>
  <sheetProtection sheet="1" objects="1" scenarios="1"/>
  <mergeCells count="3">
    <mergeCell ref="B2:P2"/>
    <mergeCell ref="B3:P3"/>
    <mergeCell ref="B4:P4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P47"/>
  <sheetViews>
    <sheetView workbookViewId="0"/>
  </sheetViews>
  <sheetFormatPr defaultRowHeight="13.2"/>
  <cols>
    <col min="2" max="2" width="12.6640625" bestFit="1" customWidth="1"/>
    <col min="4" max="4" width="15.33203125" bestFit="1" customWidth="1"/>
    <col min="6" max="6" width="12.6640625" bestFit="1" customWidth="1"/>
    <col min="8" max="8" width="12.6640625" bestFit="1" customWidth="1"/>
    <col min="10" max="10" width="15" customWidth="1"/>
    <col min="12" max="12" width="10.6640625" customWidth="1"/>
  </cols>
  <sheetData>
    <row r="3" spans="2:12">
      <c r="B3" s="20" t="s">
        <v>128</v>
      </c>
      <c r="D3" s="20" t="s">
        <v>154</v>
      </c>
      <c r="F3" s="15" t="s">
        <v>155</v>
      </c>
      <c r="H3" s="15" t="s">
        <v>451</v>
      </c>
    </row>
    <row r="4" spans="2:12">
      <c r="B4" s="31">
        <v>9</v>
      </c>
      <c r="D4" s="31">
        <v>0</v>
      </c>
      <c r="F4" s="1">
        <v>1</v>
      </c>
      <c r="H4" s="55" t="s">
        <v>477</v>
      </c>
    </row>
    <row r="5" spans="2:12">
      <c r="B5" s="31">
        <v>9.5</v>
      </c>
      <c r="D5" s="31">
        <v>1</v>
      </c>
      <c r="F5" s="1">
        <v>2</v>
      </c>
      <c r="H5" s="55" t="s">
        <v>452</v>
      </c>
    </row>
    <row r="6" spans="2:12">
      <c r="B6" s="31">
        <v>10</v>
      </c>
      <c r="D6" s="31">
        <v>2</v>
      </c>
      <c r="F6" s="1">
        <v>3</v>
      </c>
      <c r="H6" s="55" t="s">
        <v>453</v>
      </c>
    </row>
    <row r="7" spans="2:12">
      <c r="B7" s="31">
        <v>10.5</v>
      </c>
      <c r="D7" s="31">
        <v>3</v>
      </c>
      <c r="F7" s="1">
        <v>4</v>
      </c>
      <c r="H7" s="55" t="s">
        <v>454</v>
      </c>
    </row>
    <row r="8" spans="2:12">
      <c r="B8" s="31">
        <v>11</v>
      </c>
      <c r="D8" s="31">
        <v>4</v>
      </c>
      <c r="F8" s="1">
        <v>5</v>
      </c>
      <c r="H8" s="55" t="s">
        <v>455</v>
      </c>
    </row>
    <row r="9" spans="2:12">
      <c r="B9" s="31">
        <v>11.5</v>
      </c>
      <c r="D9" s="31">
        <v>5</v>
      </c>
      <c r="F9" s="1">
        <v>6</v>
      </c>
    </row>
    <row r="10" spans="2:12">
      <c r="B10" s="31">
        <v>12</v>
      </c>
      <c r="D10" s="31">
        <v>6</v>
      </c>
      <c r="F10" s="1">
        <v>7</v>
      </c>
    </row>
    <row r="11" spans="2:12">
      <c r="D11" s="31">
        <v>7</v>
      </c>
    </row>
    <row r="12" spans="2:12">
      <c r="D12" s="31">
        <v>8</v>
      </c>
    </row>
    <row r="15" spans="2:12">
      <c r="H15" s="15" t="s">
        <v>163</v>
      </c>
      <c r="J15" s="15" t="s">
        <v>165</v>
      </c>
    </row>
    <row r="16" spans="2:12">
      <c r="B16" s="15" t="s">
        <v>491</v>
      </c>
      <c r="D16" s="15" t="s">
        <v>127</v>
      </c>
      <c r="F16" s="15" t="s">
        <v>160</v>
      </c>
      <c r="H16" s="15" t="s">
        <v>164</v>
      </c>
      <c r="J16" s="15" t="s">
        <v>166</v>
      </c>
      <c r="L16" s="15" t="s">
        <v>192</v>
      </c>
    </row>
    <row r="17" spans="2:16">
      <c r="B17" s="55" t="s">
        <v>477</v>
      </c>
      <c r="D17" s="31" t="s">
        <v>156</v>
      </c>
      <c r="F17" s="31" t="s">
        <v>161</v>
      </c>
      <c r="H17" s="31" t="s">
        <v>161</v>
      </c>
      <c r="J17" s="31" t="s">
        <v>161</v>
      </c>
      <c r="L17" s="55" t="s">
        <v>193</v>
      </c>
    </row>
    <row r="18" spans="2:16">
      <c r="B18" s="1" t="s">
        <v>492</v>
      </c>
      <c r="D18" s="31" t="s">
        <v>157</v>
      </c>
      <c r="F18" s="31" t="s">
        <v>162</v>
      </c>
      <c r="H18" s="31" t="s">
        <v>162</v>
      </c>
      <c r="J18" s="31" t="s">
        <v>181</v>
      </c>
      <c r="L18" s="55" t="s">
        <v>194</v>
      </c>
    </row>
    <row r="19" spans="2:16">
      <c r="B19" s="1" t="s">
        <v>493</v>
      </c>
      <c r="D19" s="55" t="s">
        <v>158</v>
      </c>
      <c r="F19" s="51" t="s">
        <v>379</v>
      </c>
      <c r="J19" s="31" t="s">
        <v>182</v>
      </c>
    </row>
    <row r="20" spans="2:16">
      <c r="B20" s="1" t="s">
        <v>494</v>
      </c>
      <c r="D20" s="31" t="s">
        <v>159</v>
      </c>
    </row>
    <row r="21" spans="2:16">
      <c r="B21" s="1" t="s">
        <v>495</v>
      </c>
    </row>
    <row r="22" spans="2:16">
      <c r="B22" s="1" t="s">
        <v>496</v>
      </c>
      <c r="F22" s="15" t="s">
        <v>129</v>
      </c>
      <c r="H22" s="15" t="s">
        <v>130</v>
      </c>
      <c r="J22" s="15" t="s">
        <v>167</v>
      </c>
    </row>
    <row r="23" spans="2:16">
      <c r="B23" s="1" t="s">
        <v>497</v>
      </c>
      <c r="F23" s="31" t="s">
        <v>161</v>
      </c>
      <c r="H23" s="31" t="s">
        <v>161</v>
      </c>
      <c r="J23" s="31" t="s">
        <v>161</v>
      </c>
    </row>
    <row r="24" spans="2:16">
      <c r="B24" s="1" t="s">
        <v>498</v>
      </c>
      <c r="F24" s="31" t="s">
        <v>162</v>
      </c>
      <c r="H24" s="31" t="s">
        <v>162</v>
      </c>
      <c r="J24" s="31" t="s">
        <v>162</v>
      </c>
    </row>
    <row r="25" spans="2:16">
      <c r="B25" s="1" t="s">
        <v>499</v>
      </c>
    </row>
    <row r="26" spans="2:16">
      <c r="B26" s="1" t="s">
        <v>500</v>
      </c>
    </row>
    <row r="27" spans="2:16">
      <c r="B27" s="1" t="s">
        <v>501</v>
      </c>
    </row>
    <row r="28" spans="2:16">
      <c r="B28" s="1" t="s">
        <v>502</v>
      </c>
      <c r="D28" s="15" t="s">
        <v>205</v>
      </c>
      <c r="F28" s="15" t="s">
        <v>209</v>
      </c>
      <c r="H28" s="15" t="s">
        <v>210</v>
      </c>
      <c r="J28" s="15" t="s">
        <v>211</v>
      </c>
      <c r="L28" s="15" t="s">
        <v>229</v>
      </c>
      <c r="N28" s="15" t="s">
        <v>580</v>
      </c>
      <c r="P28" s="15" t="s">
        <v>581</v>
      </c>
    </row>
    <row r="29" spans="2:16">
      <c r="B29" s="1" t="s">
        <v>503</v>
      </c>
      <c r="D29" s="55" t="s">
        <v>206</v>
      </c>
      <c r="F29" s="1">
        <v>0</v>
      </c>
      <c r="H29" s="1">
        <v>0</v>
      </c>
      <c r="J29" s="55" t="s">
        <v>161</v>
      </c>
      <c r="L29" s="55" t="s">
        <v>193</v>
      </c>
      <c r="N29" s="1">
        <v>0</v>
      </c>
      <c r="P29" s="1">
        <v>0</v>
      </c>
    </row>
    <row r="30" spans="2:16">
      <c r="B30" s="1" t="s">
        <v>504</v>
      </c>
      <c r="D30" s="55" t="s">
        <v>207</v>
      </c>
      <c r="F30" s="1">
        <v>1</v>
      </c>
      <c r="H30" s="1">
        <v>1</v>
      </c>
      <c r="J30" s="55" t="s">
        <v>162</v>
      </c>
      <c r="L30" s="55" t="s">
        <v>194</v>
      </c>
      <c r="N30" s="1">
        <v>1</v>
      </c>
      <c r="P30" s="1">
        <v>1</v>
      </c>
    </row>
    <row r="31" spans="2:16">
      <c r="B31" s="1" t="s">
        <v>505</v>
      </c>
      <c r="D31" s="55" t="s">
        <v>208</v>
      </c>
      <c r="F31" s="1">
        <v>2</v>
      </c>
      <c r="H31" s="1">
        <v>2</v>
      </c>
      <c r="N31" s="1">
        <v>2</v>
      </c>
      <c r="P31" s="1">
        <v>2</v>
      </c>
    </row>
    <row r="32" spans="2:16">
      <c r="B32" s="1" t="s">
        <v>506</v>
      </c>
      <c r="F32" s="1">
        <v>3</v>
      </c>
      <c r="H32" s="1">
        <v>3</v>
      </c>
      <c r="N32" s="1">
        <v>3</v>
      </c>
      <c r="P32" s="1">
        <v>3</v>
      </c>
    </row>
    <row r="33" spans="2:16">
      <c r="B33" s="1" t="s">
        <v>507</v>
      </c>
      <c r="F33" s="1">
        <v>4</v>
      </c>
      <c r="H33" s="1">
        <v>4</v>
      </c>
      <c r="N33" s="1">
        <v>4</v>
      </c>
      <c r="P33" s="1">
        <v>4</v>
      </c>
    </row>
    <row r="34" spans="2:16">
      <c r="B34" s="1" t="s">
        <v>508</v>
      </c>
    </row>
    <row r="35" spans="2:16">
      <c r="B35" s="1" t="s">
        <v>509</v>
      </c>
    </row>
    <row r="36" spans="2:16">
      <c r="B36" s="1" t="s">
        <v>510</v>
      </c>
      <c r="D36" s="15" t="s">
        <v>253</v>
      </c>
      <c r="F36" s="15" t="s">
        <v>256</v>
      </c>
      <c r="H36" s="15" t="s">
        <v>257</v>
      </c>
      <c r="J36" s="15" t="s">
        <v>263</v>
      </c>
      <c r="L36" s="15" t="s">
        <v>264</v>
      </c>
    </row>
    <row r="37" spans="2:16">
      <c r="B37" s="1" t="s">
        <v>511</v>
      </c>
      <c r="D37" s="1">
        <v>10</v>
      </c>
      <c r="F37" s="55" t="s">
        <v>254</v>
      </c>
      <c r="H37" s="55" t="s">
        <v>258</v>
      </c>
      <c r="J37" s="31">
        <v>0</v>
      </c>
      <c r="L37" s="1">
        <v>0</v>
      </c>
    </row>
    <row r="38" spans="2:16">
      <c r="B38" s="1" t="s">
        <v>512</v>
      </c>
      <c r="D38" s="1">
        <v>20</v>
      </c>
      <c r="F38" s="55" t="s">
        <v>255</v>
      </c>
      <c r="H38" s="84" t="s">
        <v>259</v>
      </c>
      <c r="J38" s="31">
        <v>1</v>
      </c>
      <c r="L38" s="1">
        <v>1</v>
      </c>
    </row>
    <row r="39" spans="2:16">
      <c r="B39" s="1" t="s">
        <v>513</v>
      </c>
      <c r="D39" s="1">
        <v>30</v>
      </c>
      <c r="F39" s="1"/>
      <c r="H39" s="85" t="s">
        <v>260</v>
      </c>
      <c r="J39" s="31">
        <v>2</v>
      </c>
      <c r="L39" s="1">
        <v>2</v>
      </c>
    </row>
    <row r="40" spans="2:16">
      <c r="B40" s="1" t="s">
        <v>514</v>
      </c>
      <c r="D40" s="1">
        <v>40</v>
      </c>
      <c r="F40" s="1"/>
      <c r="H40" s="85" t="s">
        <v>261</v>
      </c>
      <c r="J40" s="31">
        <v>3</v>
      </c>
    </row>
    <row r="41" spans="2:16">
      <c r="B41" s="1" t="s">
        <v>515</v>
      </c>
      <c r="D41" s="1">
        <v>50</v>
      </c>
      <c r="F41" s="1"/>
      <c r="H41" s="85" t="s">
        <v>262</v>
      </c>
      <c r="J41" s="31">
        <v>4</v>
      </c>
    </row>
    <row r="42" spans="2:16">
      <c r="B42" s="1" t="s">
        <v>516</v>
      </c>
      <c r="D42" s="1">
        <v>60</v>
      </c>
      <c r="F42" s="1"/>
      <c r="J42" s="31">
        <v>5</v>
      </c>
    </row>
    <row r="43" spans="2:16">
      <c r="D43" s="1">
        <v>70</v>
      </c>
      <c r="F43" s="1"/>
      <c r="J43" s="31">
        <v>6</v>
      </c>
    </row>
    <row r="44" spans="2:16">
      <c r="D44" s="1">
        <v>80</v>
      </c>
      <c r="F44" s="1"/>
      <c r="J44" s="31">
        <v>7</v>
      </c>
    </row>
    <row r="45" spans="2:16">
      <c r="D45" s="1">
        <v>90</v>
      </c>
      <c r="F45" s="1"/>
      <c r="J45" s="31">
        <v>8</v>
      </c>
    </row>
    <row r="46" spans="2:16">
      <c r="D46" s="1">
        <v>100</v>
      </c>
      <c r="J46" s="55">
        <v>9</v>
      </c>
    </row>
    <row r="47" spans="2:16">
      <c r="J47" s="55">
        <v>10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86"/>
  <sheetViews>
    <sheetView workbookViewId="0">
      <selection activeCell="D4" sqref="D4:F4"/>
    </sheetView>
  </sheetViews>
  <sheetFormatPr defaultRowHeight="13.2"/>
  <cols>
    <col min="1" max="1" width="13.109375" customWidth="1"/>
    <col min="2" max="2" width="14.33203125" customWidth="1"/>
    <col min="3" max="3" width="12.33203125" customWidth="1"/>
    <col min="4" max="4" width="13.33203125" customWidth="1"/>
    <col min="5" max="5" width="11" customWidth="1"/>
    <col min="6" max="6" width="12.109375" customWidth="1"/>
    <col min="7" max="7" width="9.33203125" customWidth="1"/>
    <col min="9" max="9" width="10.109375" customWidth="1"/>
    <col min="10" max="10" width="12.109375" customWidth="1"/>
    <col min="11" max="11" width="12.33203125" customWidth="1"/>
    <col min="12" max="12" width="11.109375" customWidth="1"/>
    <col min="13" max="13" width="9.33203125" customWidth="1"/>
    <col min="14" max="14" width="16.5546875" customWidth="1"/>
    <col min="17" max="17" width="10.109375" customWidth="1"/>
    <col min="32" max="32" width="13" customWidth="1"/>
    <col min="33" max="33" width="13.109375" customWidth="1"/>
    <col min="34" max="34" width="16.5546875" customWidth="1"/>
  </cols>
  <sheetData>
    <row r="1" spans="1:34" ht="13.8" thickBot="1"/>
    <row r="2" spans="1:34" ht="14.4" thickTop="1" thickBot="1">
      <c r="A2" s="279" t="s">
        <v>0</v>
      </c>
      <c r="B2" s="280"/>
      <c r="C2" s="280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34" ht="13.5" customHeight="1">
      <c r="A3" s="250" t="s">
        <v>1</v>
      </c>
      <c r="B3" s="270"/>
      <c r="C3" s="270"/>
      <c r="D3" s="270"/>
      <c r="E3" s="270"/>
      <c r="F3" s="271"/>
      <c r="G3" s="282" t="s">
        <v>19</v>
      </c>
      <c r="H3" s="283"/>
      <c r="I3" s="283"/>
      <c r="J3" s="283"/>
      <c r="K3" s="283"/>
      <c r="L3" s="283"/>
      <c r="M3" s="283"/>
      <c r="Q3" s="88" t="s">
        <v>359</v>
      </c>
      <c r="AD3" s="88" t="s">
        <v>358</v>
      </c>
    </row>
    <row r="4" spans="1:34">
      <c r="A4" s="284" t="s">
        <v>2</v>
      </c>
      <c r="B4" s="284"/>
      <c r="C4" s="285"/>
      <c r="D4" s="286" t="s">
        <v>441</v>
      </c>
      <c r="E4" s="287"/>
      <c r="F4" s="288"/>
      <c r="G4" s="289" t="s">
        <v>20</v>
      </c>
      <c r="H4" s="284"/>
      <c r="I4" s="285"/>
      <c r="J4" s="286" t="s">
        <v>287</v>
      </c>
      <c r="K4" s="287"/>
      <c r="L4" s="287"/>
      <c r="M4" s="287"/>
    </row>
    <row r="5" spans="1:34" ht="13.2" customHeight="1" thickBot="1">
      <c r="A5" s="270" t="s">
        <v>3</v>
      </c>
      <c r="B5" s="270"/>
      <c r="C5" s="271"/>
      <c r="D5" s="272" t="s">
        <v>442</v>
      </c>
      <c r="E5" s="273"/>
      <c r="F5" s="274"/>
      <c r="G5" s="275" t="s">
        <v>21</v>
      </c>
      <c r="H5" s="270"/>
      <c r="I5" s="271"/>
      <c r="J5" s="272" t="s">
        <v>437</v>
      </c>
      <c r="K5" s="273"/>
      <c r="L5" s="273"/>
      <c r="M5" s="273"/>
      <c r="Q5" s="51" t="s">
        <v>430</v>
      </c>
      <c r="U5" s="39">
        <f>IF($I$10&gt;2000,(VLOOKUP($J$13,$AD$26:$AH$34,5,FALSE)),IF($I$10&lt;400,(VLOOKUP($J$13,$AD$26:$AH$34,3,FALSE)),(VLOOKUP($J$13,$AD$26:$AH$34,4))))</f>
        <v>1.1499999999999999</v>
      </c>
      <c r="W5" s="51" t="s">
        <v>431</v>
      </c>
      <c r="AA5" s="39">
        <f>IF($I$10&gt;2000,(VLOOKUP($M$13,$AD$26:$AH$34,5,FALSE)),IF($I$10&lt;400,(VLOOKUP($M$13,$AD$26:$AH$34,3,FALSE)),(VLOOKUP($M$13,$AD$26:$AH$34,4))))</f>
        <v>1.1499999999999999</v>
      </c>
    </row>
    <row r="6" spans="1:34" ht="18.75" customHeight="1">
      <c r="A6" s="270" t="s">
        <v>4</v>
      </c>
      <c r="B6" s="270"/>
      <c r="C6" s="271"/>
      <c r="D6" s="276">
        <f ca="1">TODAY()</f>
        <v>45350</v>
      </c>
      <c r="E6" s="277"/>
      <c r="F6" s="278"/>
      <c r="G6" s="275" t="s">
        <v>22</v>
      </c>
      <c r="H6" s="270"/>
      <c r="I6" s="271"/>
      <c r="J6" s="272" t="s">
        <v>288</v>
      </c>
      <c r="K6" s="273"/>
      <c r="L6" s="273"/>
      <c r="M6" s="273"/>
      <c r="AD6" s="262" t="s">
        <v>398</v>
      </c>
      <c r="AE6" s="262"/>
      <c r="AF6" s="262"/>
      <c r="AG6" s="262"/>
      <c r="AH6" s="262"/>
    </row>
    <row r="7" spans="1:34" ht="16.2" thickBot="1">
      <c r="A7" s="270"/>
      <c r="B7" s="270"/>
      <c r="C7" s="271"/>
      <c r="D7" s="275"/>
      <c r="E7" s="270"/>
      <c r="F7" s="271"/>
      <c r="G7" s="275" t="s">
        <v>23</v>
      </c>
      <c r="H7" s="270"/>
      <c r="I7" s="271"/>
      <c r="J7" s="298">
        <v>2022</v>
      </c>
      <c r="K7" s="299"/>
      <c r="L7" s="299"/>
      <c r="M7" s="299"/>
      <c r="Q7" s="51" t="s">
        <v>432</v>
      </c>
      <c r="U7" s="39">
        <f>IF($J$14="Paved",(HLOOKUP($J$13,'Segment Tables'!$T$8:$AB$12,2,FALSE)),(IF($J$14="Gravel",(HLOOKUP($J$13,'Segment Tables'!$T$8:$AB$12,3,FALSE)),(IF($J$14="Turf",(HLOOKUP($J$13,'Segment Tables'!$T$8:$AB$12,5,FALSE)),HLOOKUP($J$13,'Segment Tables'!$T$8:$AB$12,4,FALSE))))))</f>
        <v>1.01</v>
      </c>
      <c r="W7" s="51" t="s">
        <v>433</v>
      </c>
      <c r="AA7" s="39">
        <f>IF($M$14="Paved",(HLOOKUP($M$13,'Segment Tables'!$T$8:$AB$12,2,FALSE)),(IF($M$14="Gravel",(HLOOKUP($M$13,'Segment Tables'!$T$8:$AB$12,3,FALSE)),(IF($M$14="Turf",(HLOOKUP($M$13,'Segment Tables'!$T$8:$AB$12,5,FALSE)),HLOOKUP($M$13,'Segment Tables'!$T$8:$AB$12,4,FALSE))))))</f>
        <v>1.01</v>
      </c>
      <c r="AD7" s="263"/>
      <c r="AE7" s="263"/>
      <c r="AF7" s="263"/>
      <c r="AG7" s="263"/>
      <c r="AH7" s="263"/>
    </row>
    <row r="8" spans="1:34">
      <c r="A8" s="300" t="s">
        <v>5</v>
      </c>
      <c r="B8" s="290"/>
      <c r="C8" s="290"/>
      <c r="D8" s="290"/>
      <c r="E8" s="290"/>
      <c r="F8" s="291"/>
      <c r="G8" s="301" t="s">
        <v>24</v>
      </c>
      <c r="H8" s="291"/>
      <c r="I8" s="301" t="s">
        <v>26</v>
      </c>
      <c r="J8" s="290"/>
      <c r="K8" s="290"/>
      <c r="L8" s="290"/>
      <c r="M8" s="290"/>
      <c r="AD8" s="407" t="s">
        <v>125</v>
      </c>
      <c r="AE8" s="408"/>
      <c r="AF8" s="269" t="s">
        <v>7</v>
      </c>
      <c r="AG8" s="411"/>
      <c r="AH8" s="411"/>
    </row>
    <row r="9" spans="1:34" ht="16.2" thickBot="1">
      <c r="A9" s="290" t="s">
        <v>6</v>
      </c>
      <c r="B9" s="290"/>
      <c r="C9" s="290"/>
      <c r="D9" s="290"/>
      <c r="E9" s="290"/>
      <c r="F9" s="291"/>
      <c r="G9" s="292" t="s">
        <v>25</v>
      </c>
      <c r="H9" s="285"/>
      <c r="I9" s="293">
        <v>1.5</v>
      </c>
      <c r="J9" s="294"/>
      <c r="K9" s="294"/>
      <c r="L9" s="294"/>
      <c r="M9" s="294"/>
      <c r="Q9" s="51" t="s">
        <v>434</v>
      </c>
      <c r="U9" s="39">
        <f>(+$U$5*$U$7-1)*(IF('Segment Tables'!$D$23="No",(('Segment Tables'!$G$29+'Segment Tables'!$G$34+'Segment Tables'!$G$36)/100),(('Segment Tables'!$K$29+'Segment Tables'!$K$34+'Segment Tables'!$K$36)/100)))+1</f>
        <v>1.0960924999999999</v>
      </c>
      <c r="W9" s="51" t="s">
        <v>435</v>
      </c>
      <c r="AA9" s="39">
        <f>(+$AA$5*$AA$7-1)*(IF('Segment Tables'!$D$23="No",(('Segment Tables'!$G$29+'Segment Tables'!$G$34+'Segment Tables'!$G$36)/100),(('Segment Tables'!$K$29+'Segment Tables'!$K$34+'Segment Tables'!$K$36)/100)))+1</f>
        <v>1.0960924999999999</v>
      </c>
      <c r="AD9" s="409"/>
      <c r="AE9" s="410"/>
      <c r="AF9" s="22" t="s">
        <v>131</v>
      </c>
      <c r="AG9" s="22" t="s">
        <v>132</v>
      </c>
      <c r="AH9" s="38" t="s">
        <v>133</v>
      </c>
    </row>
    <row r="10" spans="1:34" ht="16.2" thickBot="1">
      <c r="A10" s="302" t="s">
        <v>7</v>
      </c>
      <c r="B10" s="302"/>
      <c r="C10" s="174" t="s">
        <v>532</v>
      </c>
      <c r="D10" s="173" t="s">
        <v>428</v>
      </c>
      <c r="E10" s="141">
        <v>17800</v>
      </c>
      <c r="F10" s="142" t="s">
        <v>533</v>
      </c>
      <c r="G10" s="295" t="s">
        <v>25</v>
      </c>
      <c r="H10" s="291"/>
      <c r="I10" s="296">
        <v>10000</v>
      </c>
      <c r="J10" s="297"/>
      <c r="K10" s="297"/>
      <c r="L10" s="297"/>
      <c r="M10" s="297"/>
      <c r="N10" s="143" t="str">
        <f>IF(I10&gt;E10,"AADT out of range","AADT OK")</f>
        <v>AADT OK</v>
      </c>
      <c r="Q10" s="51"/>
      <c r="U10" s="58"/>
      <c r="W10" s="51"/>
      <c r="AA10" s="58"/>
      <c r="AD10" s="254">
        <v>9</v>
      </c>
      <c r="AE10" s="257"/>
      <c r="AF10" s="39">
        <v>1.05</v>
      </c>
      <c r="AG10" s="39">
        <f>+($I$10-400)*0.000281+1.05</f>
        <v>3.7476000000000003</v>
      </c>
      <c r="AH10" s="40">
        <v>1.5</v>
      </c>
    </row>
    <row r="11" spans="1:34">
      <c r="A11" s="404" t="s">
        <v>517</v>
      </c>
      <c r="B11" s="404"/>
      <c r="C11" s="404"/>
      <c r="D11" s="404"/>
      <c r="E11" s="404"/>
      <c r="F11" s="405"/>
      <c r="G11" s="295" t="s">
        <v>25</v>
      </c>
      <c r="H11" s="400"/>
      <c r="I11" s="310" t="s">
        <v>477</v>
      </c>
      <c r="J11" s="406"/>
      <c r="K11" s="406"/>
      <c r="L11" s="406"/>
      <c r="M11" s="406"/>
      <c r="N11" s="143"/>
      <c r="AD11" s="260">
        <v>9.5</v>
      </c>
      <c r="AE11" s="255"/>
      <c r="AF11" s="39">
        <f>+(AF10+AF12)/2</f>
        <v>1.0350000000000001</v>
      </c>
      <c r="AG11" s="39">
        <f>+(AG10+AG12)/2</f>
        <v>3.2238000000000002</v>
      </c>
      <c r="AH11" s="40">
        <f>+(AH10+AH12)/2</f>
        <v>1.4</v>
      </c>
    </row>
    <row r="12" spans="1:34">
      <c r="A12" s="309" t="s">
        <v>8</v>
      </c>
      <c r="B12" s="290"/>
      <c r="C12" s="290"/>
      <c r="D12" s="290"/>
      <c r="E12" s="290"/>
      <c r="F12" s="291"/>
      <c r="G12" s="304">
        <v>12</v>
      </c>
      <c r="H12" s="291"/>
      <c r="I12" s="310">
        <v>10</v>
      </c>
      <c r="J12" s="311"/>
      <c r="K12" s="311"/>
      <c r="L12" s="311"/>
      <c r="M12" s="311"/>
      <c r="Q12" s="88" t="s">
        <v>376</v>
      </c>
      <c r="AD12" s="254">
        <v>10</v>
      </c>
      <c r="AE12" s="257"/>
      <c r="AF12" s="39">
        <v>1.02</v>
      </c>
      <c r="AG12" s="39">
        <f>+($I$10-400)*0.000175+1.02</f>
        <v>2.7</v>
      </c>
      <c r="AH12" s="40">
        <v>1.3</v>
      </c>
    </row>
    <row r="13" spans="1:34">
      <c r="A13" s="309" t="s">
        <v>9</v>
      </c>
      <c r="B13" s="290"/>
      <c r="C13" s="290"/>
      <c r="D13" s="290"/>
      <c r="E13" s="290"/>
      <c r="F13" s="291"/>
      <c r="G13" s="304">
        <v>6</v>
      </c>
      <c r="H13" s="291"/>
      <c r="I13" s="172" t="s">
        <v>429</v>
      </c>
      <c r="J13" s="233">
        <v>4</v>
      </c>
      <c r="K13" s="307" t="s">
        <v>436</v>
      </c>
      <c r="L13" s="308"/>
      <c r="M13" s="234">
        <v>4</v>
      </c>
      <c r="AD13" s="260">
        <v>10.5</v>
      </c>
      <c r="AE13" s="255"/>
      <c r="AF13" s="39">
        <f>+(AF12+AF14)/2</f>
        <v>1.0150000000000001</v>
      </c>
      <c r="AG13" s="39">
        <f>+(AG12+AG14)/2</f>
        <v>1.9750000000000001</v>
      </c>
      <c r="AH13" s="40">
        <f>+(AH12+AH14)/2</f>
        <v>1.175</v>
      </c>
    </row>
    <row r="14" spans="1:34">
      <c r="A14" s="290" t="s">
        <v>10</v>
      </c>
      <c r="B14" s="290"/>
      <c r="C14" s="290"/>
      <c r="D14" s="290"/>
      <c r="E14" s="290"/>
      <c r="F14" s="291"/>
      <c r="G14" s="303" t="s">
        <v>156</v>
      </c>
      <c r="H14" s="291"/>
      <c r="I14" s="144" t="s">
        <v>429</v>
      </c>
      <c r="J14" s="233" t="s">
        <v>157</v>
      </c>
      <c r="K14" s="307" t="s">
        <v>436</v>
      </c>
      <c r="L14" s="308"/>
      <c r="M14" s="234" t="s">
        <v>157</v>
      </c>
      <c r="Q14" t="s">
        <v>378</v>
      </c>
      <c r="U14" s="124">
        <f>IF($I$16&gt;0,IF($I$16&lt;=100,100,$I$16),0)</f>
        <v>0</v>
      </c>
      <c r="AD14" s="254">
        <v>11</v>
      </c>
      <c r="AE14" s="257"/>
      <c r="AF14" s="39">
        <v>1.01</v>
      </c>
      <c r="AG14" s="39">
        <f>+($I$10-400)*0.000025+1.01</f>
        <v>1.25</v>
      </c>
      <c r="AH14" s="40">
        <v>1.05</v>
      </c>
    </row>
    <row r="15" spans="1:34">
      <c r="A15" s="290" t="s">
        <v>11</v>
      </c>
      <c r="B15" s="290"/>
      <c r="C15" s="290"/>
      <c r="D15" s="290"/>
      <c r="E15" s="290"/>
      <c r="F15" s="291"/>
      <c r="G15" s="304">
        <v>0</v>
      </c>
      <c r="H15" s="291"/>
      <c r="I15" s="305">
        <v>0</v>
      </c>
      <c r="J15" s="306"/>
      <c r="K15" s="306"/>
      <c r="L15" s="306"/>
      <c r="M15" s="306"/>
      <c r="AD15" s="260">
        <v>11.5</v>
      </c>
      <c r="AE15" s="255"/>
      <c r="AF15" s="39">
        <f>+(AF14+AF16)/2</f>
        <v>1.0049999999999999</v>
      </c>
      <c r="AG15" s="39">
        <f>+(AG14+AG16)/2</f>
        <v>1.125</v>
      </c>
      <c r="AH15" s="40">
        <f>+(AH14+AH16)/2</f>
        <v>1.0249999999999999</v>
      </c>
    </row>
    <row r="16" spans="1:34" ht="13.8" thickBot="1">
      <c r="A16" s="290" t="s">
        <v>12</v>
      </c>
      <c r="B16" s="290"/>
      <c r="C16" s="290"/>
      <c r="D16" s="290"/>
      <c r="E16" s="290"/>
      <c r="F16" s="291"/>
      <c r="G16" s="304">
        <v>0</v>
      </c>
      <c r="H16" s="291"/>
      <c r="I16" s="312">
        <v>0</v>
      </c>
      <c r="J16" s="313"/>
      <c r="K16" s="313"/>
      <c r="L16" s="313"/>
      <c r="M16" s="313"/>
      <c r="Q16" t="s">
        <v>377</v>
      </c>
      <c r="U16" s="124">
        <f>IF($I$15&gt;0,IF($I$15&lt;=100/5280,100/5280,$I$15),0)</f>
        <v>0</v>
      </c>
      <c r="AD16" s="258">
        <v>12</v>
      </c>
      <c r="AE16" s="261"/>
      <c r="AF16" s="41">
        <v>1</v>
      </c>
      <c r="AG16" s="41">
        <v>1</v>
      </c>
      <c r="AH16" s="42">
        <v>1</v>
      </c>
    </row>
    <row r="17" spans="1:34">
      <c r="A17" s="290" t="s">
        <v>13</v>
      </c>
      <c r="B17" s="290"/>
      <c r="C17" s="290"/>
      <c r="D17" s="290"/>
      <c r="E17" s="290"/>
      <c r="F17" s="291"/>
      <c r="G17" s="303" t="s">
        <v>161</v>
      </c>
      <c r="H17" s="291"/>
      <c r="I17" s="310" t="s">
        <v>161</v>
      </c>
      <c r="J17" s="311"/>
      <c r="K17" s="311"/>
      <c r="L17" s="311"/>
      <c r="M17" s="311"/>
      <c r="AD17" s="251" t="s">
        <v>178</v>
      </c>
      <c r="AE17" s="252"/>
      <c r="AF17" s="252"/>
      <c r="AG17" s="252"/>
      <c r="AH17" s="252"/>
    </row>
    <row r="18" spans="1:34">
      <c r="A18" s="290" t="s">
        <v>14</v>
      </c>
      <c r="B18" s="290"/>
      <c r="C18" s="290"/>
      <c r="D18" s="290"/>
      <c r="E18" s="290"/>
      <c r="F18" s="291"/>
      <c r="G18" s="295" t="s">
        <v>124</v>
      </c>
      <c r="H18" s="291"/>
      <c r="I18" s="312">
        <v>0</v>
      </c>
      <c r="J18" s="313"/>
      <c r="K18" s="313"/>
      <c r="L18" s="313"/>
      <c r="M18" s="313"/>
      <c r="Q18" s="51" t="s">
        <v>380</v>
      </c>
      <c r="U18" s="124">
        <f>IF(I17="Present",1,IF(I17="Not Present",0,0.5))</f>
        <v>0</v>
      </c>
      <c r="AD18" s="252"/>
      <c r="AE18" s="252"/>
      <c r="AF18" s="252"/>
      <c r="AG18" s="252"/>
      <c r="AH18" s="252"/>
    </row>
    <row r="19" spans="1:34">
      <c r="A19" s="309" t="s">
        <v>15</v>
      </c>
      <c r="B19" s="290"/>
      <c r="C19" s="290"/>
      <c r="D19" s="290"/>
      <c r="E19" s="290"/>
      <c r="F19" s="291"/>
      <c r="G19" s="304">
        <v>0</v>
      </c>
      <c r="H19" s="291"/>
      <c r="I19" s="312">
        <v>2</v>
      </c>
      <c r="J19" s="313"/>
      <c r="K19" s="313"/>
      <c r="L19" s="313"/>
      <c r="M19" s="313"/>
      <c r="AD19" s="252"/>
      <c r="AE19" s="252"/>
      <c r="AF19" s="252"/>
      <c r="AG19" s="252"/>
      <c r="AH19" s="252"/>
    </row>
    <row r="20" spans="1:34">
      <c r="A20" s="309" t="s">
        <v>536</v>
      </c>
      <c r="B20" s="290"/>
      <c r="C20" s="290"/>
      <c r="D20" s="290"/>
      <c r="E20" s="290"/>
      <c r="F20" s="291"/>
      <c r="G20" s="315" t="s">
        <v>535</v>
      </c>
      <c r="H20" s="291"/>
      <c r="I20" s="312">
        <v>9</v>
      </c>
      <c r="J20" s="313"/>
      <c r="K20" s="313"/>
      <c r="L20" s="313"/>
      <c r="M20" s="313"/>
      <c r="N20" t="str">
        <f>ROUND(U27,2) &amp; " driveways / mile"</f>
        <v>6 driveways / mile</v>
      </c>
      <c r="Q20" s="51" t="s">
        <v>381</v>
      </c>
      <c r="U20" s="13">
        <f>IF( $U$16&gt;0, ((1.55*$U$16)+(80.2/$U$14)-(0.012*(IF($U$18="Present",TRUE,FALSE))))/(1.55*$U$16), 1)</f>
        <v>1</v>
      </c>
      <c r="AD20" s="253"/>
      <c r="AE20" s="253"/>
      <c r="AF20" s="253"/>
      <c r="AG20" s="253"/>
      <c r="AH20" s="253"/>
    </row>
    <row r="21" spans="1:34" ht="13.8" thickBot="1">
      <c r="A21" s="290" t="s">
        <v>16</v>
      </c>
      <c r="B21" s="290"/>
      <c r="C21" s="290"/>
      <c r="D21" s="290"/>
      <c r="E21" s="290"/>
      <c r="F21" s="291"/>
      <c r="G21" s="303" t="s">
        <v>161</v>
      </c>
      <c r="H21" s="291"/>
      <c r="I21" s="310" t="s">
        <v>161</v>
      </c>
      <c r="J21" s="311"/>
      <c r="K21" s="311"/>
      <c r="L21" s="311"/>
      <c r="M21" s="311"/>
    </row>
    <row r="22" spans="1:34">
      <c r="A22" s="314" t="s">
        <v>180</v>
      </c>
      <c r="B22" s="290"/>
      <c r="C22" s="290"/>
      <c r="D22" s="290"/>
      <c r="E22" s="290"/>
      <c r="F22" s="291"/>
      <c r="G22" s="303" t="s">
        <v>161</v>
      </c>
      <c r="H22" s="291"/>
      <c r="I22" s="310" t="s">
        <v>161</v>
      </c>
      <c r="J22" s="311"/>
      <c r="K22" s="311"/>
      <c r="L22" s="311"/>
      <c r="M22" s="311"/>
      <c r="Q22" s="51" t="s">
        <v>382</v>
      </c>
      <c r="U22" s="13">
        <f>IF($U$20&lt;1,1,$U$20)</f>
        <v>1</v>
      </c>
      <c r="AD22" s="262" t="s">
        <v>399</v>
      </c>
      <c r="AE22" s="262"/>
      <c r="AF22" s="262"/>
      <c r="AG22" s="262"/>
      <c r="AH22" s="262"/>
    </row>
    <row r="23" spans="1:34" ht="13.8" thickBot="1">
      <c r="A23" s="290" t="s">
        <v>17</v>
      </c>
      <c r="B23" s="290"/>
      <c r="C23" s="290"/>
      <c r="D23" s="284"/>
      <c r="E23" s="284"/>
      <c r="F23" s="285"/>
      <c r="G23" s="303" t="s">
        <v>161</v>
      </c>
      <c r="H23" s="291"/>
      <c r="I23" s="310" t="s">
        <v>161</v>
      </c>
      <c r="J23" s="311"/>
      <c r="K23" s="311"/>
      <c r="L23" s="311"/>
      <c r="M23" s="311"/>
      <c r="AD23" s="263"/>
      <c r="AE23" s="263"/>
      <c r="AF23" s="263"/>
      <c r="AG23" s="263"/>
      <c r="AH23" s="263"/>
    </row>
    <row r="24" spans="1:34">
      <c r="A24" s="327" t="s">
        <v>530</v>
      </c>
      <c r="B24" s="327"/>
      <c r="C24" s="327"/>
      <c r="D24" s="325" t="s">
        <v>531</v>
      </c>
      <c r="E24" s="325"/>
      <c r="F24" s="326"/>
      <c r="G24" s="260">
        <v>3</v>
      </c>
      <c r="H24" s="291"/>
      <c r="I24" s="310">
        <v>4</v>
      </c>
      <c r="J24" s="311"/>
      <c r="K24" s="311"/>
      <c r="L24" s="311"/>
      <c r="M24" s="311"/>
      <c r="AD24" s="264" t="s">
        <v>126</v>
      </c>
      <c r="AE24" s="265"/>
      <c r="AF24" s="268" t="s">
        <v>7</v>
      </c>
      <c r="AG24" s="268"/>
      <c r="AH24" s="269"/>
    </row>
    <row r="25" spans="1:34">
      <c r="A25" s="290" t="s">
        <v>18</v>
      </c>
      <c r="B25" s="290"/>
      <c r="C25" s="290"/>
      <c r="D25" s="323"/>
      <c r="E25" s="323"/>
      <c r="F25" s="324"/>
      <c r="G25" s="303" t="s">
        <v>161</v>
      </c>
      <c r="H25" s="291"/>
      <c r="I25" s="310" t="s">
        <v>161</v>
      </c>
      <c r="J25" s="311"/>
      <c r="K25" s="311"/>
      <c r="L25" s="311"/>
      <c r="M25" s="311"/>
      <c r="Q25" s="88" t="s">
        <v>537</v>
      </c>
      <c r="AD25" s="266"/>
      <c r="AE25" s="267"/>
      <c r="AF25" s="22" t="s">
        <v>131</v>
      </c>
      <c r="AG25" s="22" t="s">
        <v>132</v>
      </c>
      <c r="AH25" s="38" t="s">
        <v>133</v>
      </c>
    </row>
    <row r="26" spans="1:34">
      <c r="A26" s="309" t="s">
        <v>529</v>
      </c>
      <c r="B26" s="290"/>
      <c r="C26" s="290"/>
      <c r="D26" s="290"/>
      <c r="E26" s="290"/>
      <c r="F26" s="291"/>
      <c r="G26" s="303" t="s">
        <v>161</v>
      </c>
      <c r="H26" s="291"/>
      <c r="I26" s="310" t="s">
        <v>161</v>
      </c>
      <c r="J26" s="311"/>
      <c r="K26" s="311"/>
      <c r="L26" s="311"/>
      <c r="M26" s="311"/>
      <c r="AD26" s="254">
        <v>0</v>
      </c>
      <c r="AE26" s="255"/>
      <c r="AF26" s="39">
        <v>1.1000000000000001</v>
      </c>
      <c r="AG26" s="39">
        <f>+($I$10-400)*0.00025+1.1</f>
        <v>3.5</v>
      </c>
      <c r="AH26" s="40">
        <v>1.5</v>
      </c>
    </row>
    <row r="27" spans="1:34" ht="16.2" thickBot="1">
      <c r="A27" s="316" t="s">
        <v>520</v>
      </c>
      <c r="B27" s="317"/>
      <c r="C27" s="317"/>
      <c r="D27" s="317"/>
      <c r="E27" s="317"/>
      <c r="F27" s="318"/>
      <c r="G27" s="319">
        <v>1</v>
      </c>
      <c r="H27" s="320"/>
      <c r="I27" s="321">
        <v>1</v>
      </c>
      <c r="J27" s="322"/>
      <c r="K27" s="322"/>
      <c r="L27" s="322"/>
      <c r="M27" s="322"/>
      <c r="Q27" s="51" t="s">
        <v>534</v>
      </c>
      <c r="U27" s="39">
        <f>I20/I9</f>
        <v>6</v>
      </c>
      <c r="AD27" s="255">
        <v>1</v>
      </c>
      <c r="AE27" s="256"/>
      <c r="AF27" s="39">
        <f>+(AF26+AF28)/2</f>
        <v>1.085</v>
      </c>
      <c r="AG27" s="39">
        <f>+(AG26+AG28)/2</f>
        <v>2.9714</v>
      </c>
      <c r="AH27" s="40">
        <f>+(AH26+AH28)/2</f>
        <v>1.4</v>
      </c>
    </row>
    <row r="28" spans="1:34" ht="13.5" customHeight="1" thickTop="1">
      <c r="AD28" s="257">
        <v>2</v>
      </c>
      <c r="AE28" s="256"/>
      <c r="AF28" s="39">
        <v>1.07</v>
      </c>
      <c r="AG28" s="39">
        <f>+($I$10-400)*0.000143+1.07</f>
        <v>2.4428000000000001</v>
      </c>
      <c r="AH28" s="40">
        <v>1.3</v>
      </c>
    </row>
    <row r="29" spans="1:34">
      <c r="AD29" s="255">
        <v>3</v>
      </c>
      <c r="AE29" s="256"/>
      <c r="AF29" s="39">
        <f>+(AF28+AF30)/2</f>
        <v>1.0449999999999999</v>
      </c>
      <c r="AG29" s="39">
        <f>+(AG28+AG30)/2</f>
        <v>2.1214</v>
      </c>
      <c r="AH29" s="40">
        <f>+(AH28+AH30)/2</f>
        <v>1.2250000000000001</v>
      </c>
    </row>
    <row r="30" spans="1:34" ht="13.5" customHeight="1" thickBot="1">
      <c r="AD30" s="257">
        <v>4</v>
      </c>
      <c r="AE30" s="256"/>
      <c r="AF30" s="39">
        <v>1.02</v>
      </c>
      <c r="AG30" s="39">
        <f>+($I$10-400)*0.00008125+1.02</f>
        <v>1.7999999999999998</v>
      </c>
      <c r="AH30" s="40">
        <v>1.1499999999999999</v>
      </c>
    </row>
    <row r="31" spans="1:34" ht="14.4" thickTop="1" thickBot="1">
      <c r="A31" s="279" t="s">
        <v>27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AD31" s="255">
        <v>5</v>
      </c>
      <c r="AE31" s="256"/>
      <c r="AF31" s="39">
        <f>+(AF30+AF32)/2</f>
        <v>1.01</v>
      </c>
      <c r="AG31" s="39">
        <f>+(AG30+AG32)/2</f>
        <v>1.4</v>
      </c>
      <c r="AH31" s="40">
        <f>+(AH30+AH32)/2</f>
        <v>1.075</v>
      </c>
    </row>
    <row r="32" spans="1:34">
      <c r="A32" s="5" t="s">
        <v>28</v>
      </c>
      <c r="B32" s="6" t="s">
        <v>29</v>
      </c>
      <c r="C32" s="2" t="s">
        <v>30</v>
      </c>
      <c r="D32" s="2" t="s">
        <v>31</v>
      </c>
      <c r="E32" s="2" t="s">
        <v>32</v>
      </c>
      <c r="F32" s="2" t="s">
        <v>33</v>
      </c>
      <c r="G32" s="2" t="s">
        <v>34</v>
      </c>
      <c r="H32" s="2" t="s">
        <v>35</v>
      </c>
      <c r="I32" s="2" t="s">
        <v>36</v>
      </c>
      <c r="J32" s="2" t="s">
        <v>37</v>
      </c>
      <c r="K32" s="2" t="s">
        <v>38</v>
      </c>
      <c r="L32" s="2" t="s">
        <v>39</v>
      </c>
      <c r="M32" s="6" t="s">
        <v>40</v>
      </c>
      <c r="AD32" s="257">
        <v>6</v>
      </c>
      <c r="AE32" s="256"/>
      <c r="AF32" s="39">
        <v>1</v>
      </c>
      <c r="AG32" s="39">
        <v>1</v>
      </c>
      <c r="AH32" s="40">
        <v>1</v>
      </c>
    </row>
    <row r="33" spans="1:34" ht="15.75" customHeight="1">
      <c r="A33" s="328" t="s">
        <v>41</v>
      </c>
      <c r="B33" s="331" t="s">
        <v>42</v>
      </c>
      <c r="C33" s="331" t="s">
        <v>43</v>
      </c>
      <c r="D33" s="334" t="s">
        <v>450</v>
      </c>
      <c r="E33" s="331" t="s">
        <v>44</v>
      </c>
      <c r="F33" s="331" t="s">
        <v>45</v>
      </c>
      <c r="G33" s="331" t="s">
        <v>46</v>
      </c>
      <c r="H33" s="331" t="s">
        <v>47</v>
      </c>
      <c r="I33" s="331" t="s">
        <v>48</v>
      </c>
      <c r="J33" s="331" t="s">
        <v>49</v>
      </c>
      <c r="K33" s="331" t="s">
        <v>50</v>
      </c>
      <c r="L33" s="331" t="s">
        <v>51</v>
      </c>
      <c r="M33" s="340" t="s">
        <v>217</v>
      </c>
      <c r="AD33" s="255">
        <v>7</v>
      </c>
      <c r="AE33" s="256"/>
      <c r="AF33" s="39">
        <f>+(AF32+AF34)/2</f>
        <v>0.99</v>
      </c>
      <c r="AG33" s="39">
        <f>+(AG32+AG34)/2</f>
        <v>0.65999999999999992</v>
      </c>
      <c r="AH33" s="40">
        <f>+(AH32+AH34)/2</f>
        <v>0.93500000000000005</v>
      </c>
    </row>
    <row r="34" spans="1:34" ht="15" customHeight="1" thickBot="1">
      <c r="A34" s="329"/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41"/>
      <c r="AD34" s="258">
        <v>8</v>
      </c>
      <c r="AE34" s="259"/>
      <c r="AF34" s="41">
        <v>0.98</v>
      </c>
      <c r="AG34" s="41">
        <f>+(($I$10-400)*-0.00006875)+0.98</f>
        <v>0.31999999999999995</v>
      </c>
      <c r="AH34" s="42">
        <v>0.87</v>
      </c>
    </row>
    <row r="35" spans="1:34">
      <c r="A35" s="329"/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41"/>
      <c r="AD35" s="251" t="s">
        <v>179</v>
      </c>
      <c r="AE35" s="252"/>
      <c r="AF35" s="252"/>
      <c r="AG35" s="252"/>
      <c r="AH35" s="252"/>
    </row>
    <row r="36" spans="1:34">
      <c r="A36" s="330"/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42"/>
      <c r="AD36" s="252"/>
      <c r="AE36" s="252"/>
      <c r="AF36" s="252"/>
      <c r="AG36" s="252"/>
      <c r="AH36" s="252"/>
    </row>
    <row r="37" spans="1:34">
      <c r="A37" s="7" t="s">
        <v>52</v>
      </c>
      <c r="B37" s="9" t="s">
        <v>53</v>
      </c>
      <c r="C37" s="8" t="s">
        <v>54</v>
      </c>
      <c r="D37" s="8" t="s">
        <v>55</v>
      </c>
      <c r="E37" s="8" t="s">
        <v>56</v>
      </c>
      <c r="F37" s="8" t="s">
        <v>57</v>
      </c>
      <c r="G37" s="8" t="s">
        <v>58</v>
      </c>
      <c r="H37" s="8" t="s">
        <v>60</v>
      </c>
      <c r="I37" s="8" t="s">
        <v>59</v>
      </c>
      <c r="J37" s="8" t="s">
        <v>61</v>
      </c>
      <c r="K37" s="8" t="s">
        <v>62</v>
      </c>
      <c r="L37" s="8" t="s">
        <v>63</v>
      </c>
      <c r="M37" s="9" t="s">
        <v>64</v>
      </c>
      <c r="AD37" s="252"/>
      <c r="AE37" s="252"/>
      <c r="AF37" s="252"/>
      <c r="AG37" s="252"/>
      <c r="AH37" s="252"/>
    </row>
    <row r="38" spans="1:34">
      <c r="A38" s="343" t="s">
        <v>65</v>
      </c>
      <c r="B38" s="331" t="s">
        <v>66</v>
      </c>
      <c r="C38" s="334" t="s">
        <v>67</v>
      </c>
      <c r="D38" s="331" t="s">
        <v>68</v>
      </c>
      <c r="E38" s="334" t="s">
        <v>401</v>
      </c>
      <c r="F38" s="331" t="s">
        <v>69</v>
      </c>
      <c r="G38" s="331" t="s">
        <v>70</v>
      </c>
      <c r="H38" s="331" t="s">
        <v>70</v>
      </c>
      <c r="I38" s="334" t="s">
        <v>449</v>
      </c>
      <c r="J38" s="331" t="s">
        <v>71</v>
      </c>
      <c r="K38" s="331" t="s">
        <v>72</v>
      </c>
      <c r="L38" s="331" t="s">
        <v>70</v>
      </c>
      <c r="M38" s="335" t="s">
        <v>73</v>
      </c>
      <c r="AD38" s="253"/>
      <c r="AE38" s="253"/>
      <c r="AF38" s="253"/>
      <c r="AG38" s="253"/>
      <c r="AH38" s="253"/>
    </row>
    <row r="39" spans="1:34" ht="13.5" customHeight="1">
      <c r="A39" s="336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6"/>
    </row>
    <row r="40" spans="1:34">
      <c r="A40" s="336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6"/>
    </row>
    <row r="41" spans="1:34" ht="13.8" thickBot="1">
      <c r="A41" s="337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37"/>
    </row>
    <row r="42" spans="1:34" ht="13.8" thickBot="1">
      <c r="A42" s="89">
        <f>((IF($I$10&gt;2000,(VLOOKUP($I$12,$AD$10:$AH$16,5,FALSE)),IF($I$10&lt;400,(VLOOKUP($I$12,$AD$10:$AH$16,3,FALSE)),(VLOOKUP($I$12,$AD$10:$AH$16,4)))))-1)*(IF( 'Segment Tables'!D23="No", (('Segment Tables'!$G$29+'Segment Tables'!$G$34+'Segment Tables'!$G$36)/100),(('Segment Tables'!$K$29+'Segment Tables'!$K$34+'Segment Tables'!$K$36)/100)))+1</f>
        <v>1.1785000000000001</v>
      </c>
      <c r="B42" s="89">
        <f>($U$9+$AA$9)/2</f>
        <v>1.0960924999999999</v>
      </c>
      <c r="C42" s="90">
        <f>+U22</f>
        <v>1</v>
      </c>
      <c r="D42" s="90">
        <f>IF($I$18&gt;=0.02,(1.06+3*($I$18-0.02)),IF($I$18&lt;0.01,1,(1+6*($I$18-0.01))))</f>
        <v>1</v>
      </c>
      <c r="E42" s="90">
        <f>IF($I$19&gt;6,1.16,(IF($I$19&lt;=3,1,1.1)))</f>
        <v>1</v>
      </c>
      <c r="F42" s="90">
        <f>IF($U$27&gt;5,(0.322+$U$27*(0.05-0.005*LN($I$10)))/(0.322+5*(0.05-0.005*LN($I$10))),1)</f>
        <v>1.0115534643804145</v>
      </c>
      <c r="G42" s="90">
        <f>IF(I23="Present",1,IF($I$21="Present",0.94,1))</f>
        <v>1</v>
      </c>
      <c r="H42" s="90">
        <f>IF($I$22="Present (1 lane)",0.75,IF($I$22="Present (2 lanes)", 0.65, 1))</f>
        <v>1</v>
      </c>
      <c r="I42" s="90">
        <f>IF($I$23="Not Present",1,IF($U$27&lt;=5,1,(1-(0.7*0.5*((0.0047*$U$27)+($U$27^2*0.0024))/(1.199+(0.0047*$U$27)+(0.0024*$U$27^2))))))</f>
        <v>1</v>
      </c>
      <c r="J42" s="90">
        <f>EXP($I$24*0.0668-0.6869)/EXP(-0.4865)</f>
        <v>1.0690816404634493</v>
      </c>
      <c r="K42" s="90">
        <f>IF($I$25="Present",(1-((1-(0.72*IF('Segment Tables'!$E$45="No",'Segment Tables'!$C$49,'Segment Tables'!$I$49))-(0.83*IF('Segment Tables'!$E$45="No",'Segment Tables'!$E$49,'Segment Tables'!$K$49)))*IF('Segment Tables'!$E$45="No",'Segment Tables'!$F$49,'Segment Tables'!$L$49))),1)</f>
        <v>1</v>
      </c>
      <c r="L42" s="90">
        <f>IF($I$26="Present",0.93,1)</f>
        <v>1</v>
      </c>
      <c r="M42" s="161">
        <f>+A42*B42*C42*D42*E42*F42*G42*H42*I42*J42*K42*L42</f>
        <v>1.3969359890449173</v>
      </c>
    </row>
    <row r="43" spans="1:34">
      <c r="B43" s="57"/>
    </row>
    <row r="44" spans="1:34">
      <c r="B44" s="58"/>
    </row>
    <row r="45" spans="1:34" ht="13.8" thickBot="1"/>
    <row r="46" spans="1:34" ht="14.4" thickTop="1" thickBot="1">
      <c r="A46" s="279" t="s">
        <v>74</v>
      </c>
      <c r="B46" s="280"/>
      <c r="C46" s="280"/>
      <c r="D46" s="280"/>
      <c r="E46" s="280"/>
      <c r="F46" s="280"/>
      <c r="G46" s="280"/>
      <c r="H46" s="280"/>
      <c r="I46" s="281"/>
      <c r="J46" s="281"/>
      <c r="K46" s="281"/>
      <c r="L46" s="281"/>
      <c r="M46" s="281"/>
    </row>
    <row r="47" spans="1:34">
      <c r="A47" s="338" t="s">
        <v>28</v>
      </c>
      <c r="B47" s="324"/>
      <c r="C47" s="16" t="s">
        <v>29</v>
      </c>
      <c r="D47" s="339" t="s">
        <v>30</v>
      </c>
      <c r="E47" s="324"/>
      <c r="F47" s="339" t="s">
        <v>31</v>
      </c>
      <c r="G47" s="324"/>
      <c r="H47" s="339" t="s">
        <v>32</v>
      </c>
      <c r="I47" s="324"/>
      <c r="J47" s="16" t="s">
        <v>33</v>
      </c>
      <c r="K47" s="16" t="s">
        <v>34</v>
      </c>
      <c r="L47" s="339" t="s">
        <v>35</v>
      </c>
      <c r="M47" s="323"/>
    </row>
    <row r="48" spans="1:34" ht="60" customHeight="1">
      <c r="A48" s="352" t="s">
        <v>75</v>
      </c>
      <c r="B48" s="285"/>
      <c r="C48" s="10" t="s">
        <v>76</v>
      </c>
      <c r="D48" s="353" t="s">
        <v>77</v>
      </c>
      <c r="E48" s="271"/>
      <c r="F48" s="346" t="s">
        <v>78</v>
      </c>
      <c r="G48" s="285"/>
      <c r="H48" s="346" t="s">
        <v>79</v>
      </c>
      <c r="I48" s="285"/>
      <c r="J48" s="10" t="s">
        <v>80</v>
      </c>
      <c r="K48" s="10" t="s">
        <v>519</v>
      </c>
      <c r="L48" s="346" t="s">
        <v>518</v>
      </c>
      <c r="M48" s="284"/>
    </row>
    <row r="49" spans="1:13" ht="39.6">
      <c r="A49" s="323"/>
      <c r="B49" s="324"/>
      <c r="C49" s="56" t="s">
        <v>404</v>
      </c>
      <c r="D49" s="354" t="s">
        <v>81</v>
      </c>
      <c r="E49" s="291"/>
      <c r="F49" s="355" t="s">
        <v>405</v>
      </c>
      <c r="G49" s="291"/>
      <c r="H49" s="345" t="s">
        <v>82</v>
      </c>
      <c r="I49" s="291"/>
      <c r="J49" s="11" t="s">
        <v>83</v>
      </c>
      <c r="K49" s="12"/>
      <c r="L49" s="345" t="s">
        <v>84</v>
      </c>
      <c r="M49" s="290"/>
    </row>
    <row r="50" spans="1:13">
      <c r="A50" s="290" t="s">
        <v>85</v>
      </c>
      <c r="B50" s="291"/>
      <c r="C50" s="13">
        <f>IF('Segment Tables'!N7="No",365*0.000001*I9*EXP('Segment Tables'!L10)*I10^'Segment Tables'!M10,I9*EXP('Segment Tables'!O10)*I10^'Segment Tables'!P10)</f>
        <v>2.5655029813711487</v>
      </c>
      <c r="D50" s="347">
        <f>IF('Segment Tables'!N7="No",'Segment Tables'!N10/I9,'Segment Tables'!Q10)</f>
        <v>0.247</v>
      </c>
      <c r="E50" s="348"/>
      <c r="F50" s="347">
        <f>+'Segment Tables'!E15/100</f>
        <v>1</v>
      </c>
      <c r="G50" s="349"/>
      <c r="H50" s="347">
        <f>+C50*F50</f>
        <v>2.5655029813711487</v>
      </c>
      <c r="I50" s="348"/>
      <c r="J50" s="162">
        <f>+M42</f>
        <v>1.3969359890449173</v>
      </c>
      <c r="K50" s="39">
        <f>$I$27*VLOOKUP(VLOOKUP($I$11,'Segment Tables'!$P$23:$Q$49,MATCH("Region",'Segment Tables'!$P$23:$Q$23,0),FALSE),'Segment Tables'!$N$15:$O$19,2,FALSE)</f>
        <v>1</v>
      </c>
      <c r="L50" s="350">
        <f>+H50*J50*K50</f>
        <v>3.5838434446793896</v>
      </c>
      <c r="M50" s="351"/>
    </row>
    <row r="51" spans="1:13">
      <c r="A51" s="290" t="s">
        <v>86</v>
      </c>
      <c r="B51" s="291"/>
      <c r="C51" s="91" t="s">
        <v>25</v>
      </c>
      <c r="D51" s="295" t="s">
        <v>25</v>
      </c>
      <c r="E51" s="291"/>
      <c r="F51" s="347">
        <f>+IF('Segment Tables'!$D$8="No",('Segment Tables'!$E$13/100),('Segment Tables'!$H$13/100))</f>
        <v>0.34399999999999997</v>
      </c>
      <c r="G51" s="349"/>
      <c r="H51" s="347">
        <f>+C50*F51</f>
        <v>0.88253302559167512</v>
      </c>
      <c r="I51" s="348"/>
      <c r="J51" s="162">
        <f>+M42</f>
        <v>1.3969359890449173</v>
      </c>
      <c r="K51" s="39">
        <f>$I$27*VLOOKUP(VLOOKUP($I$11,'Segment Tables'!$P$23:$Q$49,MATCH("Region",'Segment Tables'!$P$23:$Q$23,0),FALSE),'Segment Tables'!$N$15:$O$19,2,FALSE)</f>
        <v>1</v>
      </c>
      <c r="L51" s="350">
        <f>+H51*J51*K51</f>
        <v>1.23284214496971</v>
      </c>
      <c r="M51" s="351"/>
    </row>
    <row r="52" spans="1:13" ht="15.75" customHeight="1" thickBot="1">
      <c r="A52" s="364" t="s">
        <v>87</v>
      </c>
      <c r="B52" s="365"/>
      <c r="C52" s="92" t="s">
        <v>25</v>
      </c>
      <c r="D52" s="366" t="s">
        <v>25</v>
      </c>
      <c r="E52" s="367"/>
      <c r="F52" s="368">
        <f>+IF('Segment Tables'!$D$8="No",('Segment Tables'!$E$14/100),('Segment Tables'!$H$14/100))</f>
        <v>0.65599999999999992</v>
      </c>
      <c r="G52" s="369"/>
      <c r="H52" s="368">
        <f>+C50*F52</f>
        <v>1.6829699557794733</v>
      </c>
      <c r="I52" s="370"/>
      <c r="J52" s="163">
        <f>+M42</f>
        <v>1.3969359890449173</v>
      </c>
      <c r="K52" s="41">
        <f>$I$27*VLOOKUP(VLOOKUP($I$11,'Segment Tables'!$P$23:$Q$49,MATCH("Region",'Segment Tables'!$P$23:$Q$23,0),FALSE),'Segment Tables'!$N$15:$O$19,2,FALSE)</f>
        <v>1</v>
      </c>
      <c r="L52" s="371">
        <f>+H52*J52*K52</f>
        <v>2.3510012997096794</v>
      </c>
      <c r="M52" s="372"/>
    </row>
    <row r="55" spans="1:13" ht="13.8" thickBot="1"/>
    <row r="56" spans="1:13" ht="14.4" thickTop="1" thickBot="1">
      <c r="A56" s="279" t="s">
        <v>88</v>
      </c>
      <c r="B56" s="280"/>
      <c r="C56" s="280"/>
      <c r="D56" s="280"/>
      <c r="E56" s="280"/>
      <c r="F56" s="280"/>
      <c r="G56" s="280"/>
      <c r="H56" s="356"/>
      <c r="I56" s="356"/>
      <c r="J56" s="356"/>
      <c r="K56" s="356"/>
      <c r="L56" s="356"/>
      <c r="M56" s="356"/>
    </row>
    <row r="57" spans="1:13">
      <c r="A57" s="357" t="s">
        <v>28</v>
      </c>
      <c r="B57" s="358"/>
      <c r="C57" s="16" t="s">
        <v>29</v>
      </c>
      <c r="D57" s="359" t="s">
        <v>30</v>
      </c>
      <c r="E57" s="360"/>
      <c r="F57" s="359" t="s">
        <v>31</v>
      </c>
      <c r="G57" s="360"/>
      <c r="H57" s="361" t="s">
        <v>32</v>
      </c>
      <c r="I57" s="362"/>
      <c r="J57" s="359" t="s">
        <v>33</v>
      </c>
      <c r="K57" s="360"/>
      <c r="L57" s="361" t="s">
        <v>34</v>
      </c>
      <c r="M57" s="363"/>
    </row>
    <row r="58" spans="1:13" ht="59.25" customHeight="1">
      <c r="A58" s="375" t="s">
        <v>89</v>
      </c>
      <c r="B58" s="374"/>
      <c r="C58" s="10" t="s">
        <v>93</v>
      </c>
      <c r="D58" s="373" t="s">
        <v>90</v>
      </c>
      <c r="E58" s="291"/>
      <c r="F58" s="373" t="s">
        <v>91</v>
      </c>
      <c r="G58" s="374"/>
      <c r="H58" s="373" t="s">
        <v>92</v>
      </c>
      <c r="I58" s="374"/>
      <c r="J58" s="373" t="s">
        <v>94</v>
      </c>
      <c r="K58" s="374"/>
      <c r="L58" s="373" t="s">
        <v>95</v>
      </c>
      <c r="M58" s="375"/>
    </row>
    <row r="59" spans="1:13" ht="51" customHeight="1">
      <c r="A59" s="375"/>
      <c r="B59" s="374"/>
      <c r="C59" s="56" t="s">
        <v>407</v>
      </c>
      <c r="D59" s="345" t="s">
        <v>96</v>
      </c>
      <c r="E59" s="377"/>
      <c r="F59" s="355" t="s">
        <v>406</v>
      </c>
      <c r="G59" s="376"/>
      <c r="H59" s="345" t="s">
        <v>97</v>
      </c>
      <c r="I59" s="377"/>
      <c r="J59" s="355" t="s">
        <v>406</v>
      </c>
      <c r="K59" s="376"/>
      <c r="L59" s="345" t="s">
        <v>98</v>
      </c>
      <c r="M59" s="378"/>
    </row>
    <row r="60" spans="1:13">
      <c r="A60" s="290" t="s">
        <v>85</v>
      </c>
      <c r="B60" s="291"/>
      <c r="C60" s="13">
        <f>+C69+C76</f>
        <v>1</v>
      </c>
      <c r="D60" s="347">
        <f>+$L$50</f>
        <v>3.5838434446793896</v>
      </c>
      <c r="E60" s="255"/>
      <c r="F60" s="347">
        <f>+F69+F76</f>
        <v>1</v>
      </c>
      <c r="G60" s="348"/>
      <c r="H60" s="347">
        <f>+$L$51</f>
        <v>1.23284214496971</v>
      </c>
      <c r="I60" s="255"/>
      <c r="J60" s="347">
        <v>1</v>
      </c>
      <c r="K60" s="348"/>
      <c r="L60" s="347">
        <f>+$L$52</f>
        <v>2.3510012997096794</v>
      </c>
      <c r="M60" s="260"/>
    </row>
    <row r="61" spans="1:13" ht="13.8" thickBot="1">
      <c r="A61" s="270"/>
      <c r="B61" s="271"/>
      <c r="C61" s="4"/>
      <c r="D61" s="366" t="s">
        <v>99</v>
      </c>
      <c r="E61" s="379"/>
      <c r="F61" s="380"/>
      <c r="G61" s="381"/>
      <c r="H61" s="382" t="s">
        <v>100</v>
      </c>
      <c r="I61" s="381"/>
      <c r="J61" s="383"/>
      <c r="K61" s="259"/>
      <c r="L61" s="382" t="s">
        <v>101</v>
      </c>
      <c r="M61" s="384"/>
    </row>
    <row r="62" spans="1:13" ht="13.8" thickBot="1">
      <c r="A62" s="385" t="s">
        <v>102</v>
      </c>
      <c r="B62" s="386"/>
      <c r="C62" s="386"/>
      <c r="D62" s="386"/>
      <c r="E62" s="386"/>
      <c r="F62" s="386"/>
      <c r="G62" s="386"/>
      <c r="H62" s="387"/>
      <c r="I62" s="387"/>
      <c r="J62" s="387"/>
      <c r="K62" s="387"/>
      <c r="L62" s="387"/>
      <c r="M62" s="387"/>
    </row>
    <row r="63" spans="1:13">
      <c r="A63" s="388" t="s">
        <v>103</v>
      </c>
      <c r="B63" s="389"/>
      <c r="C63" s="135">
        <f>IF('Segment Tables'!$D$23="No",('Segment Tables'!$G25/100),('Segment Tables'!$K25/100))</f>
        <v>0.113</v>
      </c>
      <c r="D63" s="390">
        <f>+$L$50*C63</f>
        <v>0.40497430924877104</v>
      </c>
      <c r="E63" s="391"/>
      <c r="F63" s="390">
        <f>IF('Segment Tables'!$D$23="No",'Segment Tables'!$E25/100,'Segment Tables'!$I25/100)</f>
        <v>3.5000000000000003E-2</v>
      </c>
      <c r="G63" s="391"/>
      <c r="H63" s="390">
        <f>+$L$51*F63</f>
        <v>4.3149475073939854E-2</v>
      </c>
      <c r="I63" s="391"/>
      <c r="J63" s="390">
        <f>IF('Segment Tables'!$D$23="No",'Segment Tables'!$F25/100,'Segment Tables'!$J25/100)</f>
        <v>0.154</v>
      </c>
      <c r="K63" s="391"/>
      <c r="L63" s="390">
        <f>+$L$52*J63</f>
        <v>0.36205420015529061</v>
      </c>
      <c r="M63" s="392"/>
    </row>
    <row r="64" spans="1:13">
      <c r="A64" s="290" t="s">
        <v>104</v>
      </c>
      <c r="B64" s="291"/>
      <c r="C64" s="135">
        <f>IF('Segment Tables'!$D$23="No",('Segment Tables'!$G26/100),('Segment Tables'!$K26/100))</f>
        <v>4.0000000000000001E-3</v>
      </c>
      <c r="D64" s="347">
        <f t="shared" ref="D64:D69" si="0">+$L$50*C64</f>
        <v>1.4335373778717559E-2</v>
      </c>
      <c r="E64" s="348"/>
      <c r="F64" s="347">
        <f>IF('Segment Tables'!$D$23="No",'Segment Tables'!$E26/100,'Segment Tables'!$I26/100)</f>
        <v>0</v>
      </c>
      <c r="G64" s="348"/>
      <c r="H64" s="347">
        <f t="shared" ref="H64:H69" si="1">+$L$51*F64</f>
        <v>0</v>
      </c>
      <c r="I64" s="348"/>
      <c r="J64" s="347">
        <f>IF('Segment Tables'!$D$23="No",'Segment Tables'!$F26/100,'Segment Tables'!$J26/100)</f>
        <v>6.0000000000000001E-3</v>
      </c>
      <c r="K64" s="348"/>
      <c r="L64" s="347">
        <f t="shared" ref="L64:L69" si="2">+$L$52*J64</f>
        <v>1.4106007798258076E-2</v>
      </c>
      <c r="M64" s="393"/>
    </row>
    <row r="65" spans="1:13">
      <c r="A65" s="290" t="s">
        <v>105</v>
      </c>
      <c r="B65" s="291"/>
      <c r="C65" s="135">
        <f>IF('Segment Tables'!$D$23="No",('Segment Tables'!$G27/100),('Segment Tables'!$K27/100))</f>
        <v>0</v>
      </c>
      <c r="D65" s="347">
        <f t="shared" si="0"/>
        <v>0</v>
      </c>
      <c r="E65" s="348"/>
      <c r="F65" s="347">
        <f>IF('Segment Tables'!$D$23="No",'Segment Tables'!$E27/100,'Segment Tables'!$I27/100)</f>
        <v>0</v>
      </c>
      <c r="G65" s="348"/>
      <c r="H65" s="347">
        <f t="shared" si="1"/>
        <v>0</v>
      </c>
      <c r="I65" s="348"/>
      <c r="J65" s="347">
        <f>IF('Segment Tables'!$D$23="No",'Segment Tables'!$F27/100,'Segment Tables'!$J27/100)</f>
        <v>0</v>
      </c>
      <c r="K65" s="348"/>
      <c r="L65" s="347">
        <f t="shared" si="2"/>
        <v>0</v>
      </c>
      <c r="M65" s="393"/>
    </row>
    <row r="66" spans="1:13">
      <c r="A66" s="290" t="s">
        <v>106</v>
      </c>
      <c r="B66" s="291"/>
      <c r="C66" s="135">
        <f>IF('Segment Tables'!$D$23="No",('Segment Tables'!$G28/100),('Segment Tables'!$K28/100))</f>
        <v>0</v>
      </c>
      <c r="D66" s="347">
        <f t="shared" si="0"/>
        <v>0</v>
      </c>
      <c r="E66" s="348"/>
      <c r="F66" s="347">
        <f>IF('Segment Tables'!$D$23="No",'Segment Tables'!$E28/100,'Segment Tables'!$I28/100)</f>
        <v>0</v>
      </c>
      <c r="G66" s="348"/>
      <c r="H66" s="347">
        <f t="shared" si="1"/>
        <v>0</v>
      </c>
      <c r="I66" s="348"/>
      <c r="J66" s="347">
        <f>IF('Segment Tables'!$D$23="No",'Segment Tables'!$F28/100,'Segment Tables'!$J28/100)</f>
        <v>0</v>
      </c>
      <c r="K66" s="348"/>
      <c r="L66" s="347">
        <f t="shared" si="2"/>
        <v>0</v>
      </c>
      <c r="M66" s="393"/>
    </row>
    <row r="67" spans="1:13">
      <c r="A67" s="290" t="s">
        <v>107</v>
      </c>
      <c r="B67" s="291"/>
      <c r="C67" s="135">
        <f>IF('Segment Tables'!$D$23="No",('Segment Tables'!$G29/100),('Segment Tables'!$K29/100))</f>
        <v>0.53</v>
      </c>
      <c r="D67" s="347">
        <f t="shared" si="0"/>
        <v>1.8994370256800766</v>
      </c>
      <c r="E67" s="348"/>
      <c r="F67" s="347">
        <f>IF('Segment Tables'!$D$23="No",'Segment Tables'!$E29/100,'Segment Tables'!$I29/100)</f>
        <v>0.63500000000000001</v>
      </c>
      <c r="G67" s="348"/>
      <c r="H67" s="347">
        <f t="shared" si="1"/>
        <v>0.78285476205576587</v>
      </c>
      <c r="I67" s="348"/>
      <c r="J67" s="347">
        <f>IF('Segment Tables'!$D$23="No",'Segment Tables'!$F29/100,'Segment Tables'!$J29/100)</f>
        <v>0.47499999999999998</v>
      </c>
      <c r="K67" s="348"/>
      <c r="L67" s="347">
        <f t="shared" si="2"/>
        <v>1.1167256173620976</v>
      </c>
      <c r="M67" s="393"/>
    </row>
    <row r="68" spans="1:13">
      <c r="A68" s="290" t="s">
        <v>108</v>
      </c>
      <c r="B68" s="291"/>
      <c r="C68" s="135">
        <f>IF('Segment Tables'!$D$23="No",('Segment Tables'!$G30/100),('Segment Tables'!$K30/100))</f>
        <v>6.5000000000000002E-2</v>
      </c>
      <c r="D68" s="347">
        <f t="shared" si="0"/>
        <v>0.23294982390416033</v>
      </c>
      <c r="E68" s="348"/>
      <c r="F68" s="347">
        <f>IF('Segment Tables'!$D$23="No",'Segment Tables'!$E30/100,'Segment Tables'!$I30/100)</f>
        <v>7.0999999999999994E-2</v>
      </c>
      <c r="G68" s="348"/>
      <c r="H68" s="347">
        <f t="shared" si="1"/>
        <v>8.7531792292849409E-2</v>
      </c>
      <c r="I68" s="348"/>
      <c r="J68" s="347">
        <f>IF('Segment Tables'!$D$23="No",'Segment Tables'!$F30/100,'Segment Tables'!$J30/100)</f>
        <v>6.2E-2</v>
      </c>
      <c r="K68" s="348"/>
      <c r="L68" s="347">
        <f t="shared" si="2"/>
        <v>0.14576208058200013</v>
      </c>
      <c r="M68" s="393"/>
    </row>
    <row r="69" spans="1:13" ht="13.8" thickBot="1">
      <c r="A69" s="394" t="s">
        <v>109</v>
      </c>
      <c r="B69" s="367"/>
      <c r="C69" s="249">
        <f>+SUM(C63:C68)</f>
        <v>0.71199999999999997</v>
      </c>
      <c r="D69" s="368">
        <f t="shared" si="0"/>
        <v>2.5516965326117251</v>
      </c>
      <c r="E69" s="370"/>
      <c r="F69" s="347">
        <f>SUM(F63:G68)</f>
        <v>0.74099999999999999</v>
      </c>
      <c r="G69" s="348"/>
      <c r="H69" s="368">
        <f t="shared" si="1"/>
        <v>0.91353602942255507</v>
      </c>
      <c r="I69" s="370"/>
      <c r="J69" s="347">
        <f>SUM(J63:K68)</f>
        <v>0.69700000000000006</v>
      </c>
      <c r="K69" s="348"/>
      <c r="L69" s="368">
        <f t="shared" si="2"/>
        <v>1.6386479058976466</v>
      </c>
      <c r="M69" s="395"/>
    </row>
    <row r="70" spans="1:13" ht="13.8" thickBot="1">
      <c r="A70" s="385" t="s">
        <v>110</v>
      </c>
      <c r="B70" s="386"/>
      <c r="C70" s="386"/>
      <c r="D70" s="386"/>
      <c r="E70" s="386"/>
      <c r="F70" s="386"/>
      <c r="G70" s="386"/>
      <c r="H70" s="387"/>
      <c r="I70" s="387"/>
      <c r="J70" s="387"/>
      <c r="K70" s="387"/>
      <c r="L70" s="387"/>
      <c r="M70" s="387"/>
    </row>
    <row r="71" spans="1:13">
      <c r="A71" s="396" t="s">
        <v>111</v>
      </c>
      <c r="B71" s="397"/>
      <c r="C71" s="135">
        <f>IF('Segment Tables'!$D$23="No",('Segment Tables'!$G33/100),('Segment Tables'!$K33/100))</f>
        <v>2.7999999999999997E-2</v>
      </c>
      <c r="D71" s="347">
        <f t="shared" ref="D71:D76" si="3">+$L$50*C71</f>
        <v>0.1003476164510229</v>
      </c>
      <c r="E71" s="348"/>
      <c r="F71" s="390">
        <f>IF('Segment Tables'!$D$23="No",'Segment Tables'!$E33/100,'Segment Tables'!$I33/100)</f>
        <v>3.5000000000000003E-2</v>
      </c>
      <c r="G71" s="391"/>
      <c r="H71" s="390">
        <f t="shared" ref="H71:H76" si="4">+$L$51*F71</f>
        <v>4.3149475073939854E-2</v>
      </c>
      <c r="I71" s="391"/>
      <c r="J71" s="390">
        <f>IF('Segment Tables'!$D$23="No",'Segment Tables'!$F33/100,'Segment Tables'!$J33/100)</f>
        <v>2.5000000000000001E-2</v>
      </c>
      <c r="K71" s="391"/>
      <c r="L71" s="390">
        <f>+$L$52*J71</f>
        <v>5.8775032492741991E-2</v>
      </c>
      <c r="M71" s="392"/>
    </row>
    <row r="72" spans="1:13">
      <c r="A72" s="290" t="s">
        <v>112</v>
      </c>
      <c r="B72" s="291"/>
      <c r="C72" s="135">
        <f>IF('Segment Tables'!$D$23="No",('Segment Tables'!$G34/100),('Segment Tables'!$K34/100))</f>
        <v>4.4999999999999998E-2</v>
      </c>
      <c r="D72" s="347">
        <f t="shared" si="3"/>
        <v>0.16127295501057254</v>
      </c>
      <c r="E72" s="348"/>
      <c r="F72" s="347">
        <f>IF('Segment Tables'!$D$23="No",'Segment Tables'!$E34/100,'Segment Tables'!$I34/100)</f>
        <v>3.5000000000000003E-2</v>
      </c>
      <c r="G72" s="348"/>
      <c r="H72" s="347">
        <f t="shared" si="4"/>
        <v>4.3149475073939854E-2</v>
      </c>
      <c r="I72" s="348"/>
      <c r="J72" s="347">
        <f>IF('Segment Tables'!$D$23="No",'Segment Tables'!$F34/100,'Segment Tables'!$J34/100)</f>
        <v>4.9000000000000002E-2</v>
      </c>
      <c r="K72" s="348"/>
      <c r="L72" s="347">
        <f>+$L$52*J72</f>
        <v>0.11519906368577429</v>
      </c>
      <c r="M72" s="393"/>
    </row>
    <row r="73" spans="1:13">
      <c r="A73" s="290" t="s">
        <v>113</v>
      </c>
      <c r="B73" s="291"/>
      <c r="C73" s="135">
        <f>IF('Segment Tables'!$D$23="No",('Segment Tables'!$G35/100),('Segment Tables'!$K35/100))</f>
        <v>5.7000000000000002E-2</v>
      </c>
      <c r="D73" s="347">
        <f t="shared" si="3"/>
        <v>0.20427907634672521</v>
      </c>
      <c r="E73" s="348"/>
      <c r="F73" s="347">
        <f>IF('Segment Tables'!$D$23="No",'Segment Tables'!$E35/100,'Segment Tables'!$I35/100)</f>
        <v>7.0999999999999994E-2</v>
      </c>
      <c r="G73" s="348"/>
      <c r="H73" s="347">
        <f t="shared" si="4"/>
        <v>8.7531792292849409E-2</v>
      </c>
      <c r="I73" s="348"/>
      <c r="J73" s="347">
        <f>IF('Segment Tables'!$D$23="No",'Segment Tables'!$F35/100,'Segment Tables'!$J35/100)</f>
        <v>4.9000000000000002E-2</v>
      </c>
      <c r="K73" s="348"/>
      <c r="L73" s="347">
        <f>+$L$52*J73</f>
        <v>0.11519906368577429</v>
      </c>
      <c r="M73" s="393"/>
    </row>
    <row r="74" spans="1:13">
      <c r="A74" s="290" t="s">
        <v>114</v>
      </c>
      <c r="B74" s="291"/>
      <c r="C74" s="135">
        <f>IF('Segment Tables'!$D$23="No",('Segment Tables'!$G36/100),('Segment Tables'!$K36/100))</f>
        <v>0.02</v>
      </c>
      <c r="D74" s="347">
        <f t="shared" si="3"/>
        <v>7.1676868893587792E-2</v>
      </c>
      <c r="E74" s="348"/>
      <c r="F74" s="347">
        <f>IF('Segment Tables'!$D$23="No",'Segment Tables'!$E36/100,'Segment Tables'!$I36/100)</f>
        <v>1.2E-2</v>
      </c>
      <c r="G74" s="348"/>
      <c r="H74" s="347">
        <f t="shared" si="4"/>
        <v>1.4794105739636521E-2</v>
      </c>
      <c r="I74" s="348"/>
      <c r="J74" s="347">
        <f>IF('Segment Tables'!$D$23="No",'Segment Tables'!$F36/100,'Segment Tables'!$J36/100)</f>
        <v>2.5000000000000001E-2</v>
      </c>
      <c r="K74" s="348"/>
      <c r="L74" s="347">
        <f>+$L$52*J74</f>
        <v>5.8775032492741991E-2</v>
      </c>
      <c r="M74" s="393"/>
    </row>
    <row r="75" spans="1:13">
      <c r="A75" s="290" t="s">
        <v>115</v>
      </c>
      <c r="B75" s="291"/>
      <c r="C75" s="135">
        <f>IF('Segment Tables'!$D$23="No",('Segment Tables'!$G37/100),('Segment Tables'!$K37/100))</f>
        <v>0.13800000000000001</v>
      </c>
      <c r="D75" s="347">
        <f t="shared" si="3"/>
        <v>0.49457039536575581</v>
      </c>
      <c r="E75" s="348"/>
      <c r="F75" s="347">
        <f>IF('Segment Tables'!$D$23="No",'Segment Tables'!$E37/100,'Segment Tables'!$I37/100)</f>
        <v>0.106</v>
      </c>
      <c r="G75" s="348"/>
      <c r="H75" s="347">
        <f t="shared" si="4"/>
        <v>0.13068126736678926</v>
      </c>
      <c r="I75" s="348"/>
      <c r="J75" s="347">
        <f>IF('Segment Tables'!$D$23="No",'Segment Tables'!$F37/100,'Segment Tables'!$J37/100)</f>
        <v>0.154</v>
      </c>
      <c r="K75" s="348"/>
      <c r="L75" s="347">
        <f>+$L$52*J75</f>
        <v>0.36205420015529061</v>
      </c>
      <c r="M75" s="393"/>
    </row>
    <row r="76" spans="1:13" ht="13.8" thickBot="1">
      <c r="A76" s="398" t="s">
        <v>148</v>
      </c>
      <c r="B76" s="367"/>
      <c r="C76" s="82">
        <f>SUM(C71:C75)</f>
        <v>0.28800000000000003</v>
      </c>
      <c r="D76" s="368">
        <f t="shared" si="3"/>
        <v>1.0321469120676643</v>
      </c>
      <c r="E76" s="370"/>
      <c r="F76" s="368">
        <f>SUM(F71:F75)</f>
        <v>0.25900000000000001</v>
      </c>
      <c r="G76" s="370"/>
      <c r="H76" s="368">
        <f t="shared" si="4"/>
        <v>0.31930611554715488</v>
      </c>
      <c r="I76" s="370"/>
      <c r="J76" s="368">
        <f>SUM(J71:J75)</f>
        <v>0.30200000000000005</v>
      </c>
      <c r="K76" s="370"/>
      <c r="L76" s="368">
        <f>SUM(L71:L75)</f>
        <v>0.71000239251232311</v>
      </c>
      <c r="M76" s="395"/>
    </row>
    <row r="79" spans="1:13" ht="13.8" thickBot="1"/>
    <row r="80" spans="1:13" ht="14.4" thickTop="1" thickBot="1">
      <c r="A80" s="279" t="s">
        <v>116</v>
      </c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</row>
    <row r="81" spans="1:13">
      <c r="A81" s="401" t="s">
        <v>28</v>
      </c>
      <c r="B81" s="401"/>
      <c r="C81" s="402"/>
      <c r="D81" s="403" t="s">
        <v>29</v>
      </c>
      <c r="E81" s="401"/>
      <c r="F81" s="402"/>
      <c r="G81" s="403" t="s">
        <v>30</v>
      </c>
      <c r="H81" s="401"/>
      <c r="I81" s="402"/>
      <c r="J81" s="403" t="s">
        <v>31</v>
      </c>
      <c r="K81" s="402"/>
      <c r="L81" s="403" t="s">
        <v>32</v>
      </c>
      <c r="M81" s="401"/>
    </row>
    <row r="82" spans="1:13" ht="36" customHeight="1">
      <c r="A82" s="427" t="s">
        <v>117</v>
      </c>
      <c r="B82" s="427"/>
      <c r="C82" s="428"/>
      <c r="D82" s="373" t="s">
        <v>408</v>
      </c>
      <c r="E82" s="375"/>
      <c r="F82" s="374"/>
      <c r="G82" s="373" t="s">
        <v>118</v>
      </c>
      <c r="H82" s="375"/>
      <c r="I82" s="374"/>
      <c r="J82" s="373" t="s">
        <v>119</v>
      </c>
      <c r="K82" s="374"/>
      <c r="L82" s="373" t="s">
        <v>120</v>
      </c>
      <c r="M82" s="375"/>
    </row>
    <row r="83" spans="1:13">
      <c r="A83" s="427"/>
      <c r="B83" s="427"/>
      <c r="C83" s="428"/>
      <c r="D83" s="295" t="s">
        <v>121</v>
      </c>
      <c r="E83" s="290"/>
      <c r="F83" s="291"/>
      <c r="G83" s="295" t="s">
        <v>122</v>
      </c>
      <c r="H83" s="399"/>
      <c r="I83" s="400"/>
      <c r="J83" s="373"/>
      <c r="K83" s="374"/>
      <c r="L83" s="295" t="s">
        <v>123</v>
      </c>
      <c r="M83" s="399"/>
    </row>
    <row r="84" spans="1:13">
      <c r="A84" s="420" t="s">
        <v>85</v>
      </c>
      <c r="B84" s="420"/>
      <c r="C84" s="421"/>
      <c r="D84" s="347">
        <f>+F50</f>
        <v>1</v>
      </c>
      <c r="E84" s="260"/>
      <c r="F84" s="255"/>
      <c r="G84" s="422">
        <f>+L50</f>
        <v>3.5838434446793896</v>
      </c>
      <c r="H84" s="423"/>
      <c r="I84" s="424"/>
      <c r="J84" s="304">
        <f>+$I$9</f>
        <v>1.5</v>
      </c>
      <c r="K84" s="255"/>
      <c r="L84" s="425">
        <f>+G84/J84</f>
        <v>2.3892289631195931</v>
      </c>
      <c r="M84" s="426"/>
    </row>
    <row r="85" spans="1:13">
      <c r="A85" s="420" t="s">
        <v>86</v>
      </c>
      <c r="B85" s="420"/>
      <c r="C85" s="421"/>
      <c r="D85" s="347">
        <f>+F51</f>
        <v>0.34399999999999997</v>
      </c>
      <c r="E85" s="260"/>
      <c r="F85" s="255"/>
      <c r="G85" s="422">
        <f>+L51</f>
        <v>1.23284214496971</v>
      </c>
      <c r="H85" s="423"/>
      <c r="I85" s="424"/>
      <c r="J85" s="304">
        <f>+$I$9</f>
        <v>1.5</v>
      </c>
      <c r="K85" s="255"/>
      <c r="L85" s="425">
        <f>+G85/J85</f>
        <v>0.82189476331314004</v>
      </c>
      <c r="M85" s="426"/>
    </row>
    <row r="86" spans="1:13" ht="13.8" thickBot="1">
      <c r="A86" s="412" t="s">
        <v>87</v>
      </c>
      <c r="B86" s="412"/>
      <c r="C86" s="413"/>
      <c r="D86" s="368">
        <f>+F52</f>
        <v>0.65599999999999992</v>
      </c>
      <c r="E86" s="414"/>
      <c r="F86" s="259"/>
      <c r="G86" s="415">
        <f>+L52</f>
        <v>2.3510012997096794</v>
      </c>
      <c r="H86" s="416"/>
      <c r="I86" s="417"/>
      <c r="J86" s="383">
        <f>+$I$9</f>
        <v>1.5</v>
      </c>
      <c r="K86" s="259"/>
      <c r="L86" s="418">
        <f>+G86/J86</f>
        <v>1.5673341998064529</v>
      </c>
      <c r="M86" s="419"/>
    </row>
  </sheetData>
  <sheetProtection sheet="1" objects="1" scenarios="1"/>
  <mergeCells count="300">
    <mergeCell ref="A11:F11"/>
    <mergeCell ref="G11:H11"/>
    <mergeCell ref="I11:M11"/>
    <mergeCell ref="AD11:AE11"/>
    <mergeCell ref="AD6:AH7"/>
    <mergeCell ref="AD8:AE9"/>
    <mergeCell ref="AF8:AH8"/>
    <mergeCell ref="A86:C86"/>
    <mergeCell ref="D86:F86"/>
    <mergeCell ref="G86:I86"/>
    <mergeCell ref="J86:K86"/>
    <mergeCell ref="L86:M86"/>
    <mergeCell ref="A84:C84"/>
    <mergeCell ref="D84:F84"/>
    <mergeCell ref="G84:I84"/>
    <mergeCell ref="J84:K84"/>
    <mergeCell ref="L84:M84"/>
    <mergeCell ref="A85:C85"/>
    <mergeCell ref="D85:F85"/>
    <mergeCell ref="G85:I85"/>
    <mergeCell ref="J85:K85"/>
    <mergeCell ref="L85:M85"/>
    <mergeCell ref="A82:C83"/>
    <mergeCell ref="D82:F82"/>
    <mergeCell ref="G82:I82"/>
    <mergeCell ref="J82:K83"/>
    <mergeCell ref="L82:M82"/>
    <mergeCell ref="D83:F83"/>
    <mergeCell ref="G83:I83"/>
    <mergeCell ref="L83:M83"/>
    <mergeCell ref="A80:M80"/>
    <mergeCell ref="A81:C81"/>
    <mergeCell ref="D81:F81"/>
    <mergeCell ref="G81:I81"/>
    <mergeCell ref="J81:K81"/>
    <mergeCell ref="L81:M81"/>
    <mergeCell ref="A76:B76"/>
    <mergeCell ref="D76:E76"/>
    <mergeCell ref="F76:G76"/>
    <mergeCell ref="H76:I76"/>
    <mergeCell ref="J76:K76"/>
    <mergeCell ref="L76:M76"/>
    <mergeCell ref="A75:B75"/>
    <mergeCell ref="D75:E75"/>
    <mergeCell ref="F75:G75"/>
    <mergeCell ref="H75:I75"/>
    <mergeCell ref="J75:K75"/>
    <mergeCell ref="L75:M75"/>
    <mergeCell ref="A74:B74"/>
    <mergeCell ref="D74:E74"/>
    <mergeCell ref="F74:G74"/>
    <mergeCell ref="H74:I74"/>
    <mergeCell ref="J74:K74"/>
    <mergeCell ref="L74:M74"/>
    <mergeCell ref="A73:B73"/>
    <mergeCell ref="D73:E73"/>
    <mergeCell ref="F73:G73"/>
    <mergeCell ref="H73:I73"/>
    <mergeCell ref="J73:K73"/>
    <mergeCell ref="L73:M73"/>
    <mergeCell ref="A72:B72"/>
    <mergeCell ref="D72:E72"/>
    <mergeCell ref="F72:G72"/>
    <mergeCell ref="H72:I72"/>
    <mergeCell ref="J72:K72"/>
    <mergeCell ref="L72:M72"/>
    <mergeCell ref="A70:M70"/>
    <mergeCell ref="A71:B71"/>
    <mergeCell ref="D71:E71"/>
    <mergeCell ref="F71:G71"/>
    <mergeCell ref="H71:I71"/>
    <mergeCell ref="J71:K71"/>
    <mergeCell ref="L71:M71"/>
    <mergeCell ref="A69:B69"/>
    <mergeCell ref="D69:E69"/>
    <mergeCell ref="F69:G69"/>
    <mergeCell ref="H69:I69"/>
    <mergeCell ref="J69:K69"/>
    <mergeCell ref="L69:M69"/>
    <mergeCell ref="A68:B68"/>
    <mergeCell ref="D68:E68"/>
    <mergeCell ref="F68:G68"/>
    <mergeCell ref="H68:I68"/>
    <mergeCell ref="J68:K68"/>
    <mergeCell ref="L68:M68"/>
    <mergeCell ref="A67:B67"/>
    <mergeCell ref="D67:E67"/>
    <mergeCell ref="F67:G67"/>
    <mergeCell ref="H67:I67"/>
    <mergeCell ref="J67:K67"/>
    <mergeCell ref="L67:M67"/>
    <mergeCell ref="A66:B66"/>
    <mergeCell ref="D66:E66"/>
    <mergeCell ref="F66:G66"/>
    <mergeCell ref="H66:I66"/>
    <mergeCell ref="J66:K66"/>
    <mergeCell ref="L66:M66"/>
    <mergeCell ref="A65:B65"/>
    <mergeCell ref="D65:E65"/>
    <mergeCell ref="F65:G65"/>
    <mergeCell ref="H65:I65"/>
    <mergeCell ref="J65:K65"/>
    <mergeCell ref="L65:M65"/>
    <mergeCell ref="A64:B64"/>
    <mergeCell ref="D64:E64"/>
    <mergeCell ref="F64:G64"/>
    <mergeCell ref="H64:I64"/>
    <mergeCell ref="J64:K64"/>
    <mergeCell ref="L64:M64"/>
    <mergeCell ref="H61:I61"/>
    <mergeCell ref="J61:K61"/>
    <mergeCell ref="L61:M61"/>
    <mergeCell ref="A62:M62"/>
    <mergeCell ref="A63:B63"/>
    <mergeCell ref="D63:E63"/>
    <mergeCell ref="F63:G63"/>
    <mergeCell ref="H63:I63"/>
    <mergeCell ref="J63:K63"/>
    <mergeCell ref="L63:M63"/>
    <mergeCell ref="A58:B59"/>
    <mergeCell ref="D58:E58"/>
    <mergeCell ref="F58:G58"/>
    <mergeCell ref="A61:B61"/>
    <mergeCell ref="D61:E61"/>
    <mergeCell ref="F61:G61"/>
    <mergeCell ref="A60:B60"/>
    <mergeCell ref="D60:E60"/>
    <mergeCell ref="F60:G60"/>
    <mergeCell ref="D59:E59"/>
    <mergeCell ref="H60:I60"/>
    <mergeCell ref="J60:K60"/>
    <mergeCell ref="L60:M60"/>
    <mergeCell ref="H58:I58"/>
    <mergeCell ref="J58:K58"/>
    <mergeCell ref="L58:M58"/>
    <mergeCell ref="F59:G59"/>
    <mergeCell ref="H59:I59"/>
    <mergeCell ref="J59:K59"/>
    <mergeCell ref="L59:M59"/>
    <mergeCell ref="A56:M56"/>
    <mergeCell ref="A57:B57"/>
    <mergeCell ref="D57:E57"/>
    <mergeCell ref="F57:G57"/>
    <mergeCell ref="H57:I57"/>
    <mergeCell ref="J57:K57"/>
    <mergeCell ref="L57:M57"/>
    <mergeCell ref="A51:B51"/>
    <mergeCell ref="D51:E51"/>
    <mergeCell ref="F51:G51"/>
    <mergeCell ref="H51:I51"/>
    <mergeCell ref="L51:M51"/>
    <mergeCell ref="A52:B52"/>
    <mergeCell ref="D52:E52"/>
    <mergeCell ref="F52:G52"/>
    <mergeCell ref="H52:I52"/>
    <mergeCell ref="L52:M52"/>
    <mergeCell ref="H49:I49"/>
    <mergeCell ref="L49:M49"/>
    <mergeCell ref="F48:G48"/>
    <mergeCell ref="H48:I48"/>
    <mergeCell ref="A50:B50"/>
    <mergeCell ref="D50:E50"/>
    <mergeCell ref="F50:G50"/>
    <mergeCell ref="H50:I50"/>
    <mergeCell ref="L50:M50"/>
    <mergeCell ref="A48:B49"/>
    <mergeCell ref="D48:E48"/>
    <mergeCell ref="L48:M48"/>
    <mergeCell ref="D49:E49"/>
    <mergeCell ref="F49:G49"/>
    <mergeCell ref="M38:M41"/>
    <mergeCell ref="A46:M46"/>
    <mergeCell ref="A47:B47"/>
    <mergeCell ref="D47:E47"/>
    <mergeCell ref="F47:G47"/>
    <mergeCell ref="H47:I47"/>
    <mergeCell ref="L47:M47"/>
    <mergeCell ref="M33:M36"/>
    <mergeCell ref="A38:A41"/>
    <mergeCell ref="B38:B41"/>
    <mergeCell ref="C38:C41"/>
    <mergeCell ref="D38:D41"/>
    <mergeCell ref="E38:E41"/>
    <mergeCell ref="F38:F41"/>
    <mergeCell ref="J38:J41"/>
    <mergeCell ref="K38:K41"/>
    <mergeCell ref="L38:L41"/>
    <mergeCell ref="G38:G41"/>
    <mergeCell ref="H38:H41"/>
    <mergeCell ref="I38:I41"/>
    <mergeCell ref="A31:M31"/>
    <mergeCell ref="A33:A36"/>
    <mergeCell ref="B33:B36"/>
    <mergeCell ref="C33:C36"/>
    <mergeCell ref="D33:D36"/>
    <mergeCell ref="E33:E36"/>
    <mergeCell ref="F33:F36"/>
    <mergeCell ref="G33:G36"/>
    <mergeCell ref="H33:H36"/>
    <mergeCell ref="I33:I36"/>
    <mergeCell ref="J33:J36"/>
    <mergeCell ref="K33:K36"/>
    <mergeCell ref="L33:L36"/>
    <mergeCell ref="A26:F26"/>
    <mergeCell ref="G26:H26"/>
    <mergeCell ref="I26:M26"/>
    <mergeCell ref="A27:F27"/>
    <mergeCell ref="G27:H27"/>
    <mergeCell ref="I27:M27"/>
    <mergeCell ref="G24:H24"/>
    <mergeCell ref="I24:M24"/>
    <mergeCell ref="A25:F25"/>
    <mergeCell ref="G25:H25"/>
    <mergeCell ref="I25:M25"/>
    <mergeCell ref="D24:F24"/>
    <mergeCell ref="A24:C24"/>
    <mergeCell ref="A22:F22"/>
    <mergeCell ref="G22:H22"/>
    <mergeCell ref="I22:M22"/>
    <mergeCell ref="A23:F23"/>
    <mergeCell ref="G23:H23"/>
    <mergeCell ref="I23:M23"/>
    <mergeCell ref="A20:F20"/>
    <mergeCell ref="G20:H20"/>
    <mergeCell ref="I20:M20"/>
    <mergeCell ref="A21:F21"/>
    <mergeCell ref="G21:H21"/>
    <mergeCell ref="I21:M21"/>
    <mergeCell ref="A18:F18"/>
    <mergeCell ref="G18:H18"/>
    <mergeCell ref="I18:M18"/>
    <mergeCell ref="A19:F19"/>
    <mergeCell ref="G19:H19"/>
    <mergeCell ref="I19:M19"/>
    <mergeCell ref="A16:F16"/>
    <mergeCell ref="G16:H16"/>
    <mergeCell ref="I16:M16"/>
    <mergeCell ref="A17:F17"/>
    <mergeCell ref="G17:H17"/>
    <mergeCell ref="I17:M17"/>
    <mergeCell ref="G14:H14"/>
    <mergeCell ref="A15:F15"/>
    <mergeCell ref="G15:H15"/>
    <mergeCell ref="I15:M15"/>
    <mergeCell ref="K14:L14"/>
    <mergeCell ref="A14:F14"/>
    <mergeCell ref="A12:F12"/>
    <mergeCell ref="G12:H12"/>
    <mergeCell ref="I12:M12"/>
    <mergeCell ref="G13:H13"/>
    <mergeCell ref="K13:L13"/>
    <mergeCell ref="A13:F13"/>
    <mergeCell ref="A9:F9"/>
    <mergeCell ref="G9:H9"/>
    <mergeCell ref="I9:M9"/>
    <mergeCell ref="G10:H10"/>
    <mergeCell ref="I10:M10"/>
    <mergeCell ref="A7:C7"/>
    <mergeCell ref="D7:F7"/>
    <mergeCell ref="G7:I7"/>
    <mergeCell ref="J7:M7"/>
    <mergeCell ref="A8:F8"/>
    <mergeCell ref="G8:H8"/>
    <mergeCell ref="I8:M8"/>
    <mergeCell ref="A10:B10"/>
    <mergeCell ref="A5:C5"/>
    <mergeCell ref="D5:F5"/>
    <mergeCell ref="G5:I5"/>
    <mergeCell ref="J5:M5"/>
    <mergeCell ref="A6:C6"/>
    <mergeCell ref="D6:F6"/>
    <mergeCell ref="G6:I6"/>
    <mergeCell ref="J6:M6"/>
    <mergeCell ref="A2:M2"/>
    <mergeCell ref="A3:F3"/>
    <mergeCell ref="G3:M3"/>
    <mergeCell ref="A4:C4"/>
    <mergeCell ref="D4:F4"/>
    <mergeCell ref="G4:I4"/>
    <mergeCell ref="J4:M4"/>
    <mergeCell ref="AD10:AE10"/>
    <mergeCell ref="AD12:AE12"/>
    <mergeCell ref="AD13:AE13"/>
    <mergeCell ref="AD14:AE14"/>
    <mergeCell ref="AD15:AE15"/>
    <mergeCell ref="AD16:AE16"/>
    <mergeCell ref="AD17:AH20"/>
    <mergeCell ref="AD22:AH23"/>
    <mergeCell ref="AD24:AE25"/>
    <mergeCell ref="AF24:AH24"/>
    <mergeCell ref="AD35:AH38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</mergeCells>
  <conditionalFormatting sqref="I10:M10">
    <cfRule type="cellIs" dxfId="38" priority="6" stopIfTrue="1" operator="greaterThan">
      <formula>$E$10</formula>
    </cfRule>
  </conditionalFormatting>
  <conditionalFormatting sqref="I16:M16 I18:M18">
    <cfRule type="expression" dxfId="37" priority="3">
      <formula>I$15&gt;0</formula>
    </cfRule>
    <cfRule type="expression" dxfId="36" priority="4">
      <formula>I$15=0</formula>
    </cfRule>
  </conditionalFormatting>
  <conditionalFormatting sqref="I17:M17">
    <cfRule type="expression" dxfId="35" priority="1">
      <formula>I$15&gt;0</formula>
    </cfRule>
    <cfRule type="expression" dxfId="34" priority="2">
      <formula>I$15=0</formula>
    </cfRule>
  </conditionalFormatting>
  <conditionalFormatting sqref="N10">
    <cfRule type="expression" dxfId="33" priority="5">
      <formula>I10&gt;E10</formula>
    </cfRule>
  </conditionalFormatting>
  <dataValidations count="16">
    <dataValidation type="list" allowBlank="1" showInputMessage="1" showErrorMessage="1" sqref="M14 J14" xr:uid="{00000000-0002-0000-0100-000000000000}">
      <formula1>SType</formula1>
    </dataValidation>
    <dataValidation type="list" allowBlank="1" showInputMessage="1" showErrorMessage="1" sqref="M13 J13" xr:uid="{00000000-0002-0000-0100-000001000000}">
      <formula1>SWidth</formula1>
    </dataValidation>
    <dataValidation type="decimal" allowBlank="1" showInputMessage="1" showErrorMessage="1" sqref="I27:M27" xr:uid="{3D25E112-E6B7-48AA-B7B1-9AAB87F0B3CC}">
      <formula1>0</formula1>
      <formula2>10</formula2>
    </dataValidation>
    <dataValidation type="decimal" operator="greaterThanOrEqual" allowBlank="1" showInputMessage="1" showErrorMessage="1" sqref="I19:M20 I15:M16" xr:uid="{00000000-0002-0000-0100-000003000000}">
      <formula1>0</formula1>
    </dataValidation>
    <dataValidation type="whole" operator="greaterThan" allowBlank="1" showInputMessage="1" showErrorMessage="1" sqref="J7:M7" xr:uid="{00000000-0002-0000-0100-000005000000}">
      <formula1>1990</formula1>
    </dataValidation>
    <dataValidation type="decimal" operator="greaterThan" allowBlank="1" showInputMessage="1" showErrorMessage="1" sqref="I9:M9" xr:uid="{00000000-0002-0000-0100-000006000000}">
      <formula1>0</formula1>
    </dataValidation>
    <dataValidation type="whole" operator="greaterThanOrEqual" allowBlank="1" showInputMessage="1" showErrorMessage="1" promptTitle="SPF based on 17,800 vpd maximum" sqref="I10:M10" xr:uid="{00000000-0002-0000-0100-000007000000}">
      <formula1>0</formula1>
    </dataValidation>
    <dataValidation type="list" allowBlank="1" showInputMessage="1" showErrorMessage="1" errorTitle="Invalid" sqref="I26:M26" xr:uid="{00000000-0002-0000-0100-000008000000}">
      <formula1>SpEnforce</formula1>
    </dataValidation>
    <dataValidation type="list" allowBlank="1" showInputMessage="1" showErrorMessage="1" sqref="I25:M25" xr:uid="{00000000-0002-0000-0100-000009000000}">
      <formula1>Lighting</formula1>
    </dataValidation>
    <dataValidation type="list" allowBlank="1" showInputMessage="1" showErrorMessage="1" sqref="I23:M23" xr:uid="{00000000-0002-0000-0100-00000A000000}">
      <formula1>TWLTL</formula1>
    </dataValidation>
    <dataValidation type="list" allowBlank="1" showInputMessage="1" showErrorMessage="1" sqref="I22:M22" xr:uid="{00000000-0002-0000-0100-00000B000000}">
      <formula1>PLane2</formula1>
    </dataValidation>
    <dataValidation type="list" allowBlank="1" showInputMessage="1" showErrorMessage="1" sqref="I21:M21" xr:uid="{00000000-0002-0000-0100-00000C000000}">
      <formula1>CRumble</formula1>
    </dataValidation>
    <dataValidation type="list" allowBlank="1" showInputMessage="1" showErrorMessage="1" sqref="I17:M17" xr:uid="{00000000-0002-0000-0100-00000D000000}">
      <formula1>Spiral2</formula1>
    </dataValidation>
    <dataValidation type="list" allowBlank="1" showInputMessage="1" showErrorMessage="1" sqref="I24:M24" xr:uid="{00000000-0002-0000-0100-00000E000000}">
      <formula1>RHR</formula1>
    </dataValidation>
    <dataValidation type="list" allowBlank="1" showInputMessage="1" showErrorMessage="1" sqref="I12:M12" xr:uid="{00000000-0002-0000-0100-00000F000000}">
      <formula1>LWidth</formula1>
    </dataValidation>
    <dataValidation type="list" allowBlank="1" showInputMessage="1" showErrorMessage="1" promptTitle="SPF based on 17,800 vpd maximum" sqref="I11:M11" xr:uid="{00000000-0002-0000-0100-000010000000}">
      <formula1>District</formula1>
    </dataValidation>
  </dataValidations>
  <hyperlinks>
    <hyperlink ref="C10" r:id="rId1" xr:uid="{CD367EEF-82AD-4A9A-AC71-FC60F39F2A34}"/>
    <hyperlink ref="D24:F24" r:id="rId2" display="RHR described in Appendix D (p. 195/200)" xr:uid="{EEC6930E-3721-4827-92C9-E7BFBD94170A}"/>
  </hyperlinks>
  <pageMargins left="0.7" right="0.7" top="0.75" bottom="0.75" header="0.3" footer="0.3"/>
  <pageSetup orientation="portrait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86"/>
  <sheetViews>
    <sheetView workbookViewId="0">
      <selection activeCell="D4" sqref="D4:F4"/>
    </sheetView>
  </sheetViews>
  <sheetFormatPr defaultRowHeight="13.2"/>
  <cols>
    <col min="1" max="1" width="13.109375" customWidth="1"/>
    <col min="2" max="2" width="14.33203125" customWidth="1"/>
    <col min="3" max="3" width="12.33203125" customWidth="1"/>
    <col min="4" max="4" width="13.33203125" customWidth="1"/>
    <col min="5" max="5" width="11" customWidth="1"/>
    <col min="6" max="6" width="12.109375" customWidth="1"/>
    <col min="7" max="7" width="9.33203125" customWidth="1"/>
    <col min="9" max="9" width="10.109375" customWidth="1"/>
    <col min="10" max="10" width="12.109375" customWidth="1"/>
    <col min="11" max="11" width="12.33203125" customWidth="1"/>
    <col min="12" max="12" width="11.109375" customWidth="1"/>
    <col min="13" max="13" width="9.33203125" customWidth="1"/>
    <col min="14" max="14" width="16.5546875" customWidth="1"/>
    <col min="17" max="17" width="10.109375" customWidth="1"/>
    <col min="32" max="32" width="13" customWidth="1"/>
    <col min="33" max="33" width="13.109375" customWidth="1"/>
    <col min="34" max="34" width="16.5546875" customWidth="1"/>
  </cols>
  <sheetData>
    <row r="1" spans="1:34" ht="13.8" thickBot="1"/>
    <row r="2" spans="1:34" ht="14.4" thickTop="1" thickBot="1">
      <c r="A2" s="279" t="s">
        <v>0</v>
      </c>
      <c r="B2" s="280"/>
      <c r="C2" s="280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34" ht="13.5" customHeight="1">
      <c r="A3" s="250" t="s">
        <v>1</v>
      </c>
      <c r="B3" s="270"/>
      <c r="C3" s="270"/>
      <c r="D3" s="270"/>
      <c r="E3" s="270"/>
      <c r="F3" s="271"/>
      <c r="G3" s="282" t="s">
        <v>19</v>
      </c>
      <c r="H3" s="283"/>
      <c r="I3" s="283"/>
      <c r="J3" s="283"/>
      <c r="K3" s="283"/>
      <c r="L3" s="283"/>
      <c r="M3" s="283"/>
      <c r="Q3" s="88" t="s">
        <v>359</v>
      </c>
      <c r="AD3" s="88" t="s">
        <v>358</v>
      </c>
    </row>
    <row r="4" spans="1:34">
      <c r="A4" s="284" t="s">
        <v>2</v>
      </c>
      <c r="B4" s="284"/>
      <c r="C4" s="285"/>
      <c r="D4" s="286" t="s">
        <v>441</v>
      </c>
      <c r="E4" s="287"/>
      <c r="F4" s="288"/>
      <c r="G4" s="289" t="s">
        <v>20</v>
      </c>
      <c r="H4" s="284"/>
      <c r="I4" s="285"/>
      <c r="J4" s="286" t="s">
        <v>287</v>
      </c>
      <c r="K4" s="287"/>
      <c r="L4" s="287"/>
      <c r="M4" s="287"/>
    </row>
    <row r="5" spans="1:34" ht="13.2" customHeight="1" thickBot="1">
      <c r="A5" s="270" t="s">
        <v>3</v>
      </c>
      <c r="B5" s="270"/>
      <c r="C5" s="271"/>
      <c r="D5" s="272" t="s">
        <v>442</v>
      </c>
      <c r="E5" s="273"/>
      <c r="F5" s="274"/>
      <c r="G5" s="275" t="s">
        <v>21</v>
      </c>
      <c r="H5" s="270"/>
      <c r="I5" s="271"/>
      <c r="J5" s="272" t="s">
        <v>390</v>
      </c>
      <c r="K5" s="273"/>
      <c r="L5" s="273"/>
      <c r="M5" s="273"/>
      <c r="Q5" s="51" t="s">
        <v>430</v>
      </c>
      <c r="U5" s="39">
        <f>IF($I$10&gt;2000,(VLOOKUP($J$13,$AD$26:$AH$34,5,FALSE)),IF($I$10&lt;400,(VLOOKUP($J$13,$AD$26:$AH$34,3,FALSE)),(VLOOKUP($J$13,$AD$26:$AH$34,4))))</f>
        <v>1.3</v>
      </c>
      <c r="W5" s="51" t="s">
        <v>431</v>
      </c>
      <c r="AA5" s="39">
        <f>IF($I$10&gt;2000,(VLOOKUP($M$13,$AD$26:$AH$34,5,FALSE)),IF($I$10&lt;400,(VLOOKUP($M$13,$AD$26:$AH$34,3,FALSE)),(VLOOKUP($M$13,$AD$26:$AH$34,4))))</f>
        <v>1.3</v>
      </c>
    </row>
    <row r="6" spans="1:34" ht="18.75" customHeight="1">
      <c r="A6" s="270" t="s">
        <v>4</v>
      </c>
      <c r="B6" s="270"/>
      <c r="C6" s="271"/>
      <c r="D6" s="276">
        <f ca="1">TODAY()</f>
        <v>45350</v>
      </c>
      <c r="E6" s="277"/>
      <c r="F6" s="278"/>
      <c r="G6" s="275" t="s">
        <v>22</v>
      </c>
      <c r="H6" s="270"/>
      <c r="I6" s="271"/>
      <c r="J6" s="272" t="s">
        <v>288</v>
      </c>
      <c r="K6" s="273"/>
      <c r="L6" s="273"/>
      <c r="M6" s="273"/>
      <c r="AD6" s="262" t="s">
        <v>398</v>
      </c>
      <c r="AE6" s="262"/>
      <c r="AF6" s="262"/>
      <c r="AG6" s="262"/>
      <c r="AH6" s="262"/>
    </row>
    <row r="7" spans="1:34" ht="16.2" thickBot="1">
      <c r="A7" s="270"/>
      <c r="B7" s="270"/>
      <c r="C7" s="271"/>
      <c r="D7" s="275"/>
      <c r="E7" s="270"/>
      <c r="F7" s="271"/>
      <c r="G7" s="275" t="s">
        <v>23</v>
      </c>
      <c r="H7" s="270"/>
      <c r="I7" s="271"/>
      <c r="J7" s="298">
        <v>2022</v>
      </c>
      <c r="K7" s="299"/>
      <c r="L7" s="299"/>
      <c r="M7" s="299"/>
      <c r="Q7" s="51" t="s">
        <v>432</v>
      </c>
      <c r="U7" s="39">
        <f>IF($J$14="Paved",(HLOOKUP($J$13,'Segment Tables'!$T$8:$AB$12,2,FALSE)),(IF($J$14="Gravel",(HLOOKUP($J$13,'Segment Tables'!$T$8:$AB$12,3,FALSE)),(IF($J$14="Turf",(HLOOKUP($J$13,'Segment Tables'!$T$8:$AB$12,5,FALSE)),HLOOKUP($J$13,'Segment Tables'!$T$8:$AB$12,4,FALSE))))))</f>
        <v>1.01</v>
      </c>
      <c r="W7" s="51" t="s">
        <v>433</v>
      </c>
      <c r="AA7" s="39">
        <f>IF($M$14="Paved",(HLOOKUP($M$13,'Segment Tables'!$T$8:$AB$12,2,FALSE)),(IF($M$14="Gravel",(HLOOKUP($M$13,'Segment Tables'!$T$8:$AB$12,3,FALSE)),(IF($M$14="Turf",(HLOOKUP($M$13,'Segment Tables'!$T$8:$AB$12,5,FALSE)),HLOOKUP($M$13,'Segment Tables'!$T$8:$AB$12,4,FALSE))))))</f>
        <v>1.01</v>
      </c>
      <c r="AD7" s="263"/>
      <c r="AE7" s="263"/>
      <c r="AF7" s="263"/>
      <c r="AG7" s="263"/>
      <c r="AH7" s="263"/>
    </row>
    <row r="8" spans="1:34">
      <c r="A8" s="300" t="s">
        <v>5</v>
      </c>
      <c r="B8" s="290"/>
      <c r="C8" s="290"/>
      <c r="D8" s="290"/>
      <c r="E8" s="290"/>
      <c r="F8" s="291"/>
      <c r="G8" s="301" t="s">
        <v>24</v>
      </c>
      <c r="H8" s="291"/>
      <c r="I8" s="301" t="s">
        <v>26</v>
      </c>
      <c r="J8" s="290"/>
      <c r="K8" s="290"/>
      <c r="L8" s="290"/>
      <c r="M8" s="290"/>
      <c r="AD8" s="407" t="s">
        <v>125</v>
      </c>
      <c r="AE8" s="408"/>
      <c r="AF8" s="269" t="s">
        <v>7</v>
      </c>
      <c r="AG8" s="411"/>
      <c r="AH8" s="411"/>
    </row>
    <row r="9" spans="1:34" ht="16.2" thickBot="1">
      <c r="A9" s="290" t="s">
        <v>6</v>
      </c>
      <c r="B9" s="290"/>
      <c r="C9" s="284"/>
      <c r="D9" s="290"/>
      <c r="E9" s="290"/>
      <c r="F9" s="291"/>
      <c r="G9" s="292" t="s">
        <v>25</v>
      </c>
      <c r="H9" s="285"/>
      <c r="I9" s="293">
        <v>0.1</v>
      </c>
      <c r="J9" s="294"/>
      <c r="K9" s="294"/>
      <c r="L9" s="294"/>
      <c r="M9" s="294"/>
      <c r="Q9" s="51" t="s">
        <v>434</v>
      </c>
      <c r="U9" s="39">
        <f>(+$U$5*$U$7-1)*(IF('Segment Tables'!$D$23="No",(('Segment Tables'!$G$29+'Segment Tables'!$G$34+'Segment Tables'!$G$36)/100),(('Segment Tables'!$K$29+'Segment Tables'!$K$34+'Segment Tables'!$K$36)/100)))+1</f>
        <v>1.1862350000000002</v>
      </c>
      <c r="W9" s="51" t="s">
        <v>435</v>
      </c>
      <c r="AA9" s="39">
        <f>(+$AA$5*$AA$7-1)*(IF('Segment Tables'!$D$23="No",(('Segment Tables'!$G$29+'Segment Tables'!$G$34+'Segment Tables'!$G$36)/100),(('Segment Tables'!$K$29+'Segment Tables'!$K$34+'Segment Tables'!$K$36)/100)))+1</f>
        <v>1.1862350000000002</v>
      </c>
      <c r="AD9" s="409"/>
      <c r="AE9" s="410"/>
      <c r="AF9" s="22" t="s">
        <v>131</v>
      </c>
      <c r="AG9" s="22" t="s">
        <v>132</v>
      </c>
      <c r="AH9" s="38" t="s">
        <v>133</v>
      </c>
    </row>
    <row r="10" spans="1:34" ht="16.2" thickBot="1">
      <c r="A10" s="302" t="s">
        <v>7</v>
      </c>
      <c r="B10" s="302"/>
      <c r="C10" s="174" t="s">
        <v>532</v>
      </c>
      <c r="D10" s="173" t="s">
        <v>428</v>
      </c>
      <c r="E10" s="141">
        <v>17800</v>
      </c>
      <c r="F10" s="142" t="s">
        <v>533</v>
      </c>
      <c r="G10" s="295" t="s">
        <v>25</v>
      </c>
      <c r="H10" s="291"/>
      <c r="I10" s="296">
        <v>8000</v>
      </c>
      <c r="J10" s="434"/>
      <c r="K10" s="434"/>
      <c r="L10" s="434"/>
      <c r="M10" s="434"/>
      <c r="N10" s="143" t="str">
        <f>IF(I10&gt;E10,"AADT out of range","AADT OK")</f>
        <v>AADT OK</v>
      </c>
      <c r="Q10" s="51"/>
      <c r="U10" s="58"/>
      <c r="W10" s="51"/>
      <c r="AA10" s="58"/>
      <c r="AD10" s="254">
        <v>9</v>
      </c>
      <c r="AE10" s="257"/>
      <c r="AF10" s="39">
        <v>1.05</v>
      </c>
      <c r="AG10" s="39">
        <f>+($I$10-400)*0.000281+1.05</f>
        <v>3.1856</v>
      </c>
      <c r="AH10" s="40">
        <v>1.5</v>
      </c>
    </row>
    <row r="11" spans="1:34">
      <c r="A11" s="404" t="s">
        <v>517</v>
      </c>
      <c r="B11" s="404"/>
      <c r="C11" s="404"/>
      <c r="D11" s="404"/>
      <c r="E11" s="404"/>
      <c r="F11" s="405"/>
      <c r="G11" s="292" t="s">
        <v>25</v>
      </c>
      <c r="H11" s="285"/>
      <c r="I11" s="310" t="s">
        <v>477</v>
      </c>
      <c r="J11" s="311"/>
      <c r="K11" s="311"/>
      <c r="L11" s="311"/>
      <c r="M11" s="311"/>
      <c r="N11" s="143"/>
      <c r="AD11" s="260">
        <v>9.5</v>
      </c>
      <c r="AE11" s="255"/>
      <c r="AF11" s="39">
        <f>+(AF10+AF12)/2</f>
        <v>1.0350000000000001</v>
      </c>
      <c r="AG11" s="39">
        <f>+(AG10+AG12)/2</f>
        <v>2.7678000000000003</v>
      </c>
      <c r="AH11" s="40">
        <f>+(AH10+AH12)/2</f>
        <v>1.4</v>
      </c>
    </row>
    <row r="12" spans="1:34">
      <c r="A12" s="309" t="s">
        <v>8</v>
      </c>
      <c r="B12" s="290"/>
      <c r="C12" s="290"/>
      <c r="D12" s="290"/>
      <c r="E12" s="290"/>
      <c r="F12" s="291"/>
      <c r="G12" s="304">
        <v>12</v>
      </c>
      <c r="H12" s="291"/>
      <c r="I12" s="310">
        <v>11</v>
      </c>
      <c r="J12" s="311"/>
      <c r="K12" s="311"/>
      <c r="L12" s="311"/>
      <c r="M12" s="311"/>
      <c r="Q12" s="88" t="s">
        <v>376</v>
      </c>
      <c r="AD12" s="254">
        <v>10</v>
      </c>
      <c r="AE12" s="257"/>
      <c r="AF12" s="39">
        <v>1.02</v>
      </c>
      <c r="AG12" s="39">
        <f>+($I$10-400)*0.000175+1.02</f>
        <v>2.35</v>
      </c>
      <c r="AH12" s="40">
        <v>1.3</v>
      </c>
    </row>
    <row r="13" spans="1:34">
      <c r="A13" s="309" t="s">
        <v>9</v>
      </c>
      <c r="B13" s="290"/>
      <c r="C13" s="290"/>
      <c r="D13" s="290"/>
      <c r="E13" s="290"/>
      <c r="F13" s="291"/>
      <c r="G13" s="304">
        <v>6</v>
      </c>
      <c r="H13" s="291"/>
      <c r="I13" s="172" t="s">
        <v>429</v>
      </c>
      <c r="J13" s="233">
        <v>2</v>
      </c>
      <c r="K13" s="307" t="s">
        <v>436</v>
      </c>
      <c r="L13" s="308"/>
      <c r="M13" s="234">
        <v>2</v>
      </c>
      <c r="AD13" s="260">
        <v>10.5</v>
      </c>
      <c r="AE13" s="255"/>
      <c r="AF13" s="39">
        <f>+(AF12+AF14)/2</f>
        <v>1.0150000000000001</v>
      </c>
      <c r="AG13" s="39">
        <f>+(AG12+AG14)/2</f>
        <v>1.7749999999999999</v>
      </c>
      <c r="AH13" s="40">
        <f>+(AH12+AH14)/2</f>
        <v>1.175</v>
      </c>
    </row>
    <row r="14" spans="1:34">
      <c r="A14" s="290" t="s">
        <v>10</v>
      </c>
      <c r="B14" s="290"/>
      <c r="C14" s="290"/>
      <c r="D14" s="290"/>
      <c r="E14" s="290"/>
      <c r="F14" s="291"/>
      <c r="G14" s="303" t="s">
        <v>156</v>
      </c>
      <c r="H14" s="291"/>
      <c r="I14" s="144" t="s">
        <v>429</v>
      </c>
      <c r="J14" s="233" t="s">
        <v>157</v>
      </c>
      <c r="K14" s="307" t="s">
        <v>436</v>
      </c>
      <c r="L14" s="308"/>
      <c r="M14" s="234" t="s">
        <v>157</v>
      </c>
      <c r="Q14" t="s">
        <v>378</v>
      </c>
      <c r="U14" s="124">
        <f>IF($I$16&gt;0,IF($I$16&lt;=100,100,$I$16),0)</f>
        <v>1200</v>
      </c>
      <c r="AD14" s="254">
        <v>11</v>
      </c>
      <c r="AE14" s="257"/>
      <c r="AF14" s="39">
        <v>1.01</v>
      </c>
      <c r="AG14" s="39">
        <f>+($I$10-400)*0.000025+1.01</f>
        <v>1.2</v>
      </c>
      <c r="AH14" s="40">
        <v>1.05</v>
      </c>
    </row>
    <row r="15" spans="1:34">
      <c r="A15" s="290" t="s">
        <v>11</v>
      </c>
      <c r="B15" s="290"/>
      <c r="C15" s="290"/>
      <c r="D15" s="290"/>
      <c r="E15" s="290"/>
      <c r="F15" s="291"/>
      <c r="G15" s="304">
        <v>0</v>
      </c>
      <c r="H15" s="291"/>
      <c r="I15" s="305">
        <v>0.1</v>
      </c>
      <c r="J15" s="306"/>
      <c r="K15" s="306"/>
      <c r="L15" s="306"/>
      <c r="M15" s="306"/>
      <c r="AD15" s="260">
        <v>11.5</v>
      </c>
      <c r="AE15" s="255"/>
      <c r="AF15" s="39">
        <f>+(AF14+AF16)/2</f>
        <v>1.0049999999999999</v>
      </c>
      <c r="AG15" s="39">
        <f>+(AG14+AG16)/2</f>
        <v>1.1000000000000001</v>
      </c>
      <c r="AH15" s="40">
        <f>+(AH14+AH16)/2</f>
        <v>1.0249999999999999</v>
      </c>
    </row>
    <row r="16" spans="1:34" ht="13.8" thickBot="1">
      <c r="A16" s="290" t="s">
        <v>12</v>
      </c>
      <c r="B16" s="290"/>
      <c r="C16" s="290"/>
      <c r="D16" s="290"/>
      <c r="E16" s="290"/>
      <c r="F16" s="291"/>
      <c r="G16" s="304">
        <v>0</v>
      </c>
      <c r="H16" s="291"/>
      <c r="I16" s="312">
        <v>1200</v>
      </c>
      <c r="J16" s="313"/>
      <c r="K16" s="313"/>
      <c r="L16" s="313"/>
      <c r="M16" s="313"/>
      <c r="Q16" t="s">
        <v>377</v>
      </c>
      <c r="U16" s="124">
        <f>IF($I$15&gt;0,IF($I$15&lt;=100/5280,100/5280,$I$15),0)</f>
        <v>0.1</v>
      </c>
      <c r="AD16" s="258">
        <v>12</v>
      </c>
      <c r="AE16" s="261"/>
      <c r="AF16" s="41">
        <v>1</v>
      </c>
      <c r="AG16" s="41">
        <v>1</v>
      </c>
      <c r="AH16" s="42">
        <v>1</v>
      </c>
    </row>
    <row r="17" spans="1:34" ht="13.2" customHeight="1">
      <c r="A17" s="290" t="s">
        <v>13</v>
      </c>
      <c r="B17" s="290"/>
      <c r="C17" s="290"/>
      <c r="D17" s="290"/>
      <c r="E17" s="290"/>
      <c r="F17" s="291"/>
      <c r="G17" s="303" t="s">
        <v>161</v>
      </c>
      <c r="H17" s="291"/>
      <c r="I17" s="310" t="s">
        <v>161</v>
      </c>
      <c r="J17" s="311"/>
      <c r="K17" s="311"/>
      <c r="L17" s="311"/>
      <c r="M17" s="311"/>
      <c r="AD17" s="429" t="s">
        <v>178</v>
      </c>
      <c r="AE17" s="429"/>
      <c r="AF17" s="429"/>
      <c r="AG17" s="429"/>
      <c r="AH17" s="429"/>
    </row>
    <row r="18" spans="1:34">
      <c r="A18" s="290" t="s">
        <v>14</v>
      </c>
      <c r="B18" s="290"/>
      <c r="C18" s="290"/>
      <c r="D18" s="290"/>
      <c r="E18" s="290"/>
      <c r="F18" s="291"/>
      <c r="G18" s="295" t="s">
        <v>124</v>
      </c>
      <c r="H18" s="291"/>
      <c r="I18" s="312">
        <v>0.02</v>
      </c>
      <c r="J18" s="313"/>
      <c r="K18" s="313"/>
      <c r="L18" s="313"/>
      <c r="M18" s="313"/>
      <c r="Q18" s="51" t="s">
        <v>380</v>
      </c>
      <c r="U18" s="124">
        <f>IF(I17="Present",1,IF(I17="Not Present",0,0.5))</f>
        <v>0</v>
      </c>
      <c r="AD18" s="251"/>
      <c r="AE18" s="251"/>
      <c r="AF18" s="251"/>
      <c r="AG18" s="251"/>
      <c r="AH18" s="251"/>
    </row>
    <row r="19" spans="1:34">
      <c r="A19" s="290" t="s">
        <v>15</v>
      </c>
      <c r="B19" s="290"/>
      <c r="C19" s="290"/>
      <c r="D19" s="290"/>
      <c r="E19" s="290"/>
      <c r="F19" s="291"/>
      <c r="G19" s="304">
        <v>0</v>
      </c>
      <c r="H19" s="291"/>
      <c r="I19" s="312">
        <v>1</v>
      </c>
      <c r="J19" s="313"/>
      <c r="K19" s="313"/>
      <c r="L19" s="313"/>
      <c r="M19" s="313"/>
      <c r="AD19" s="251"/>
      <c r="AE19" s="251"/>
      <c r="AF19" s="251"/>
      <c r="AG19" s="251"/>
      <c r="AH19" s="251"/>
    </row>
    <row r="20" spans="1:34">
      <c r="A20" s="309" t="s">
        <v>536</v>
      </c>
      <c r="B20" s="290"/>
      <c r="C20" s="290"/>
      <c r="D20" s="290"/>
      <c r="E20" s="290"/>
      <c r="F20" s="291"/>
      <c r="G20" s="315" t="s">
        <v>535</v>
      </c>
      <c r="H20" s="291"/>
      <c r="I20" s="312">
        <v>0</v>
      </c>
      <c r="J20" s="313"/>
      <c r="K20" s="313"/>
      <c r="L20" s="313"/>
      <c r="M20" s="313"/>
      <c r="N20" t="str">
        <f>ROUND(U27,2) &amp; " driveways / mile"</f>
        <v>0 driveways / mile</v>
      </c>
      <c r="Q20" s="51" t="s">
        <v>381</v>
      </c>
      <c r="U20" s="13">
        <f>IF( $U$16&gt;0, ((1.55*$U$16)+(80.2/$U$14)-(0.012*(IF($U$18="Present",TRUE,FALSE))))/(1.55*$U$16), 1)</f>
        <v>1.4311827956989247</v>
      </c>
      <c r="AD20" s="251"/>
      <c r="AE20" s="251"/>
      <c r="AF20" s="251"/>
      <c r="AG20" s="251"/>
      <c r="AH20" s="251"/>
    </row>
    <row r="21" spans="1:34" ht="13.8" thickBot="1">
      <c r="A21" s="290" t="s">
        <v>16</v>
      </c>
      <c r="B21" s="290"/>
      <c r="C21" s="290"/>
      <c r="D21" s="290"/>
      <c r="E21" s="290"/>
      <c r="F21" s="291"/>
      <c r="G21" s="303" t="s">
        <v>161</v>
      </c>
      <c r="H21" s="291"/>
      <c r="I21" s="310" t="s">
        <v>161</v>
      </c>
      <c r="J21" s="311"/>
      <c r="K21" s="311"/>
      <c r="L21" s="311"/>
      <c r="M21" s="311"/>
    </row>
    <row r="22" spans="1:34" ht="13.2" customHeight="1">
      <c r="A22" s="314" t="s">
        <v>180</v>
      </c>
      <c r="B22" s="290"/>
      <c r="C22" s="290"/>
      <c r="D22" s="290"/>
      <c r="E22" s="290"/>
      <c r="F22" s="291"/>
      <c r="G22" s="303" t="s">
        <v>161</v>
      </c>
      <c r="H22" s="291"/>
      <c r="I22" s="310" t="s">
        <v>161</v>
      </c>
      <c r="J22" s="311"/>
      <c r="K22" s="311"/>
      <c r="L22" s="311"/>
      <c r="M22" s="311"/>
      <c r="Q22" s="51" t="s">
        <v>382</v>
      </c>
      <c r="U22" s="13">
        <f>IF($U$20&lt;1,1,$U$20)</f>
        <v>1.4311827956989247</v>
      </c>
      <c r="AD22" s="262" t="s">
        <v>399</v>
      </c>
      <c r="AE22" s="262"/>
      <c r="AF22" s="262"/>
      <c r="AG22" s="262"/>
      <c r="AH22" s="262"/>
    </row>
    <row r="23" spans="1:34" ht="13.8" thickBot="1">
      <c r="A23" s="290" t="s">
        <v>17</v>
      </c>
      <c r="B23" s="290"/>
      <c r="C23" s="290"/>
      <c r="D23" s="284"/>
      <c r="E23" s="284"/>
      <c r="F23" s="285"/>
      <c r="G23" s="303" t="s">
        <v>161</v>
      </c>
      <c r="H23" s="291"/>
      <c r="I23" s="310" t="s">
        <v>161</v>
      </c>
      <c r="J23" s="311"/>
      <c r="K23" s="311"/>
      <c r="L23" s="311"/>
      <c r="M23" s="311"/>
      <c r="AD23" s="263"/>
      <c r="AE23" s="263"/>
      <c r="AF23" s="263"/>
      <c r="AG23" s="263"/>
      <c r="AH23" s="263"/>
    </row>
    <row r="24" spans="1:34">
      <c r="A24" s="327" t="s">
        <v>530</v>
      </c>
      <c r="B24" s="327"/>
      <c r="C24" s="327"/>
      <c r="D24" s="325" t="s">
        <v>531</v>
      </c>
      <c r="E24" s="325"/>
      <c r="F24" s="326"/>
      <c r="G24" s="260">
        <v>3</v>
      </c>
      <c r="H24" s="291"/>
      <c r="I24" s="310">
        <v>5</v>
      </c>
      <c r="J24" s="311"/>
      <c r="K24" s="311"/>
      <c r="L24" s="311"/>
      <c r="M24" s="311"/>
      <c r="AD24" s="430" t="s">
        <v>126</v>
      </c>
      <c r="AE24" s="431"/>
      <c r="AF24" s="269" t="s">
        <v>7</v>
      </c>
      <c r="AG24" s="411"/>
      <c r="AH24" s="411"/>
    </row>
    <row r="25" spans="1:34">
      <c r="A25" s="290" t="s">
        <v>18</v>
      </c>
      <c r="B25" s="290"/>
      <c r="C25" s="290"/>
      <c r="D25" s="323"/>
      <c r="E25" s="323"/>
      <c r="F25" s="324"/>
      <c r="G25" s="303" t="s">
        <v>161</v>
      </c>
      <c r="H25" s="291"/>
      <c r="I25" s="310" t="s">
        <v>161</v>
      </c>
      <c r="J25" s="311"/>
      <c r="K25" s="311"/>
      <c r="L25" s="311"/>
      <c r="M25" s="311"/>
      <c r="Q25" s="88" t="s">
        <v>537</v>
      </c>
      <c r="AD25" s="432"/>
      <c r="AE25" s="433"/>
      <c r="AF25" s="22" t="s">
        <v>131</v>
      </c>
      <c r="AG25" s="22" t="s">
        <v>132</v>
      </c>
      <c r="AH25" s="38" t="s">
        <v>133</v>
      </c>
    </row>
    <row r="26" spans="1:34">
      <c r="A26" s="309" t="s">
        <v>529</v>
      </c>
      <c r="B26" s="290"/>
      <c r="C26" s="290"/>
      <c r="D26" s="290"/>
      <c r="E26" s="290"/>
      <c r="F26" s="291"/>
      <c r="G26" s="303" t="s">
        <v>161</v>
      </c>
      <c r="H26" s="291"/>
      <c r="I26" s="310" t="s">
        <v>161</v>
      </c>
      <c r="J26" s="311"/>
      <c r="K26" s="311"/>
      <c r="L26" s="311"/>
      <c r="M26" s="311"/>
      <c r="AD26" s="254">
        <v>0</v>
      </c>
      <c r="AE26" s="257"/>
      <c r="AF26" s="39">
        <v>1.1000000000000001</v>
      </c>
      <c r="AG26" s="39">
        <f>+($I$10-400)*0.00025+1.1</f>
        <v>3</v>
      </c>
      <c r="AH26" s="40">
        <v>1.5</v>
      </c>
    </row>
    <row r="27" spans="1:34" ht="16.2" thickBot="1">
      <c r="A27" s="316" t="s">
        <v>520</v>
      </c>
      <c r="B27" s="317"/>
      <c r="C27" s="317"/>
      <c r="D27" s="317"/>
      <c r="E27" s="317"/>
      <c r="F27" s="318"/>
      <c r="G27" s="319">
        <v>1</v>
      </c>
      <c r="H27" s="320"/>
      <c r="I27" s="321">
        <v>1</v>
      </c>
      <c r="J27" s="322"/>
      <c r="K27" s="322"/>
      <c r="L27" s="322"/>
      <c r="M27" s="322"/>
      <c r="Q27" s="51" t="s">
        <v>534</v>
      </c>
      <c r="U27" s="39">
        <f>I20/I9</f>
        <v>0</v>
      </c>
      <c r="AD27" s="260">
        <v>1</v>
      </c>
      <c r="AE27" s="255"/>
      <c r="AF27" s="39">
        <f>+(AF26+AF28)/2</f>
        <v>1.085</v>
      </c>
      <c r="AG27" s="39">
        <f>+(AG26+AG28)/2</f>
        <v>2.5784000000000002</v>
      </c>
      <c r="AH27" s="40">
        <f>+(AH26+AH28)/2</f>
        <v>1.4</v>
      </c>
    </row>
    <row r="28" spans="1:34" ht="13.5" customHeight="1" thickTop="1">
      <c r="AD28" s="254">
        <v>2</v>
      </c>
      <c r="AE28" s="257"/>
      <c r="AF28" s="39">
        <v>1.07</v>
      </c>
      <c r="AG28" s="39">
        <f>+($I$10-400)*0.000143+1.07</f>
        <v>2.1568000000000001</v>
      </c>
      <c r="AH28" s="40">
        <v>1.3</v>
      </c>
    </row>
    <row r="29" spans="1:34">
      <c r="AD29" s="260">
        <v>3</v>
      </c>
      <c r="AE29" s="255"/>
      <c r="AF29" s="39">
        <f>+(AF28+AF30)/2</f>
        <v>1.0449999999999999</v>
      </c>
      <c r="AG29" s="39">
        <f>+(AG28+AG30)/2</f>
        <v>1.8971499999999999</v>
      </c>
      <c r="AH29" s="40">
        <f>+(AH28+AH30)/2</f>
        <v>1.2250000000000001</v>
      </c>
    </row>
    <row r="30" spans="1:34" ht="13.5" customHeight="1" thickBot="1">
      <c r="AD30" s="254">
        <v>4</v>
      </c>
      <c r="AE30" s="257"/>
      <c r="AF30" s="39">
        <v>1.02</v>
      </c>
      <c r="AG30" s="39">
        <f>+($I$10-400)*0.00008125+1.02</f>
        <v>1.6375</v>
      </c>
      <c r="AH30" s="40">
        <v>1.1499999999999999</v>
      </c>
    </row>
    <row r="31" spans="1:34" ht="14.4" thickTop="1" thickBot="1">
      <c r="A31" s="279" t="s">
        <v>27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AD31" s="260">
        <v>5</v>
      </c>
      <c r="AE31" s="255"/>
      <c r="AF31" s="39">
        <f>+(AF30+AF32)/2</f>
        <v>1.01</v>
      </c>
      <c r="AG31" s="39">
        <f>+(AG30+AG32)/2</f>
        <v>1.3187500000000001</v>
      </c>
      <c r="AH31" s="40">
        <f>+(AH30+AH32)/2</f>
        <v>1.075</v>
      </c>
    </row>
    <row r="32" spans="1:34">
      <c r="A32" s="5" t="s">
        <v>28</v>
      </c>
      <c r="B32" s="6" t="s">
        <v>29</v>
      </c>
      <c r="C32" s="2" t="s">
        <v>30</v>
      </c>
      <c r="D32" s="2" t="s">
        <v>31</v>
      </c>
      <c r="E32" s="2" t="s">
        <v>32</v>
      </c>
      <c r="F32" s="2" t="s">
        <v>33</v>
      </c>
      <c r="G32" s="2" t="s">
        <v>34</v>
      </c>
      <c r="H32" s="2" t="s">
        <v>35</v>
      </c>
      <c r="I32" s="2" t="s">
        <v>36</v>
      </c>
      <c r="J32" s="2" t="s">
        <v>37</v>
      </c>
      <c r="K32" s="2" t="s">
        <v>38</v>
      </c>
      <c r="L32" s="2" t="s">
        <v>39</v>
      </c>
      <c r="M32" s="6" t="s">
        <v>40</v>
      </c>
      <c r="AD32" s="254">
        <v>6</v>
      </c>
      <c r="AE32" s="257"/>
      <c r="AF32" s="39">
        <v>1</v>
      </c>
      <c r="AG32" s="39">
        <v>1</v>
      </c>
      <c r="AH32" s="40">
        <v>1</v>
      </c>
    </row>
    <row r="33" spans="1:34" ht="15.75" customHeight="1">
      <c r="A33" s="328" t="s">
        <v>41</v>
      </c>
      <c r="B33" s="331" t="s">
        <v>42</v>
      </c>
      <c r="C33" s="331" t="s">
        <v>43</v>
      </c>
      <c r="D33" s="334" t="s">
        <v>450</v>
      </c>
      <c r="E33" s="331" t="s">
        <v>44</v>
      </c>
      <c r="F33" s="331" t="s">
        <v>45</v>
      </c>
      <c r="G33" s="331" t="s">
        <v>46</v>
      </c>
      <c r="H33" s="331" t="s">
        <v>47</v>
      </c>
      <c r="I33" s="331" t="s">
        <v>48</v>
      </c>
      <c r="J33" s="331" t="s">
        <v>49</v>
      </c>
      <c r="K33" s="331" t="s">
        <v>50</v>
      </c>
      <c r="L33" s="331" t="s">
        <v>51</v>
      </c>
      <c r="M33" s="340" t="s">
        <v>217</v>
      </c>
      <c r="AD33" s="260">
        <v>7</v>
      </c>
      <c r="AE33" s="255"/>
      <c r="AF33" s="39">
        <f>+(AF32+AF34)/2</f>
        <v>0.99</v>
      </c>
      <c r="AG33" s="39">
        <f>+(AG32+AG34)/2</f>
        <v>0.72875000000000001</v>
      </c>
      <c r="AH33" s="40">
        <f>+(AH32+AH34)/2</f>
        <v>0.93500000000000005</v>
      </c>
    </row>
    <row r="34" spans="1:34" ht="15" customHeight="1" thickBot="1">
      <c r="A34" s="329"/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41"/>
      <c r="AD34" s="258">
        <v>8</v>
      </c>
      <c r="AE34" s="261"/>
      <c r="AF34" s="41">
        <v>0.98</v>
      </c>
      <c r="AG34" s="41">
        <f>+(($I$10-400)*-0.00006875)+0.98</f>
        <v>0.45749999999999991</v>
      </c>
      <c r="AH34" s="42">
        <v>0.87</v>
      </c>
    </row>
    <row r="35" spans="1:34" ht="13.2" customHeight="1">
      <c r="A35" s="329"/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41"/>
      <c r="AD35" s="429" t="s">
        <v>179</v>
      </c>
      <c r="AE35" s="429"/>
      <c r="AF35" s="429"/>
      <c r="AG35" s="429"/>
      <c r="AH35" s="429"/>
    </row>
    <row r="36" spans="1:34">
      <c r="A36" s="330"/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42"/>
      <c r="AD36" s="251"/>
      <c r="AE36" s="251"/>
      <c r="AF36" s="251"/>
      <c r="AG36" s="251"/>
      <c r="AH36" s="251"/>
    </row>
    <row r="37" spans="1:34">
      <c r="A37" s="7" t="s">
        <v>52</v>
      </c>
      <c r="B37" s="9" t="s">
        <v>53</v>
      </c>
      <c r="C37" s="8" t="s">
        <v>54</v>
      </c>
      <c r="D37" s="8" t="s">
        <v>55</v>
      </c>
      <c r="E37" s="8" t="s">
        <v>56</v>
      </c>
      <c r="F37" s="8" t="s">
        <v>57</v>
      </c>
      <c r="G37" s="8" t="s">
        <v>58</v>
      </c>
      <c r="H37" s="8" t="s">
        <v>60</v>
      </c>
      <c r="I37" s="8" t="s">
        <v>59</v>
      </c>
      <c r="J37" s="8" t="s">
        <v>61</v>
      </c>
      <c r="K37" s="8" t="s">
        <v>62</v>
      </c>
      <c r="L37" s="8" t="s">
        <v>63</v>
      </c>
      <c r="M37" s="9" t="s">
        <v>64</v>
      </c>
      <c r="AD37" s="251"/>
      <c r="AE37" s="251"/>
      <c r="AF37" s="251"/>
      <c r="AG37" s="251"/>
      <c r="AH37" s="251"/>
    </row>
    <row r="38" spans="1:34" ht="13.2" customHeight="1">
      <c r="A38" s="343" t="s">
        <v>65</v>
      </c>
      <c r="B38" s="331" t="s">
        <v>66</v>
      </c>
      <c r="C38" s="334" t="s">
        <v>67</v>
      </c>
      <c r="D38" s="331" t="s">
        <v>68</v>
      </c>
      <c r="E38" s="334" t="s">
        <v>401</v>
      </c>
      <c r="F38" s="331" t="s">
        <v>69</v>
      </c>
      <c r="G38" s="331" t="s">
        <v>70</v>
      </c>
      <c r="H38" s="331" t="s">
        <v>70</v>
      </c>
      <c r="I38" s="334" t="s">
        <v>449</v>
      </c>
      <c r="J38" s="331" t="s">
        <v>71</v>
      </c>
      <c r="K38" s="331" t="s">
        <v>72</v>
      </c>
      <c r="L38" s="331" t="s">
        <v>70</v>
      </c>
      <c r="M38" s="335" t="s">
        <v>73</v>
      </c>
      <c r="AD38" s="251"/>
      <c r="AE38" s="251"/>
      <c r="AF38" s="251"/>
      <c r="AG38" s="251"/>
      <c r="AH38" s="251"/>
    </row>
    <row r="39" spans="1:34" ht="13.5" customHeight="1">
      <c r="A39" s="336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6"/>
    </row>
    <row r="40" spans="1:34">
      <c r="A40" s="336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6"/>
    </row>
    <row r="41" spans="1:34" ht="13.8" thickBot="1">
      <c r="A41" s="337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37"/>
    </row>
    <row r="42" spans="1:34" ht="13.8" thickBot="1">
      <c r="A42" s="89">
        <f>((IF($I$10&gt;2000,(VLOOKUP($I$12,$AD$10:$AH$16,5,FALSE)),IF($I$10&lt;400,(VLOOKUP($I$12,$AD$10:$AH$16,3,FALSE)),(VLOOKUP($I$12,$AD$10:$AH$16,4)))))-1)*(IF( 'Segment Tables'!D23="No", (('Segment Tables'!$G$29+'Segment Tables'!$G$34+'Segment Tables'!$G$36)/100),(('Segment Tables'!$K$29+'Segment Tables'!$K$34+'Segment Tables'!$K$36)/100)))+1</f>
        <v>1.0297499999999999</v>
      </c>
      <c r="B42" s="89">
        <f>($U$9+$AA$9)/2</f>
        <v>1.1862350000000002</v>
      </c>
      <c r="C42" s="90">
        <f>+U22</f>
        <v>1.4311827956989247</v>
      </c>
      <c r="D42" s="90">
        <f>IF($I$18&gt;=0.02,(1.06+3*($I$18-0.02)),IF($I$18&lt;0.01,1,(1+6*($I$18-0.01))))</f>
        <v>1.06</v>
      </c>
      <c r="E42" s="90">
        <f>IF($I$19&gt;6,1.16,(IF($I$19&lt;=3,1,1.1)))</f>
        <v>1</v>
      </c>
      <c r="F42" s="90">
        <f>IF($U$27&gt;5,(0.322+$U$27*(0.05-0.005*LN($I$10)))/(0.322+5*(0.05-0.005*LN($I$10))),1)</f>
        <v>1</v>
      </c>
      <c r="G42" s="90">
        <f>IF(I23="Present",1,IF($I$21="Present",0.94,1))</f>
        <v>1</v>
      </c>
      <c r="H42" s="90">
        <f>IF($I$22="Present (1 lane)",0.75,IF($I$22="Present (2 lanes)", 0.65, 1))</f>
        <v>1</v>
      </c>
      <c r="I42" s="90">
        <f>IF($I$23="Not Present",1,IF($U$27&lt;=5,1,(1-(0.7*0.5*((0.0047*$U$27)+($U$27^2*0.0024))/(1.199+(0.0047*$U$27)+(0.0024*$U$27^2))))))</f>
        <v>1</v>
      </c>
      <c r="J42" s="90">
        <f>EXP($I$24*0.0668-0.6869)/EXP(-0.4865)</f>
        <v>1.1429355539760198</v>
      </c>
      <c r="K42" s="90">
        <f>IF($I$25="Present",(1-((1-(0.72*IF('Segment Tables'!$E$45="No",'Segment Tables'!$C$49,'Segment Tables'!$I$49))-(0.83*IF('Segment Tables'!$E$45="No",'Segment Tables'!$E$49,'Segment Tables'!$K$49)))*IF('Segment Tables'!$E$45="No",'Segment Tables'!$F$49,'Segment Tables'!$L$49))),1)</f>
        <v>1</v>
      </c>
      <c r="L42" s="90">
        <f>IF($I$26="Present",0.93,1)</f>
        <v>1</v>
      </c>
      <c r="M42" s="161">
        <f>+A42*B42*C42*D42*E42*F42*G42*H42*I42*J42*K42*L42</f>
        <v>2.1179965550743618</v>
      </c>
    </row>
    <row r="43" spans="1:34">
      <c r="B43" s="57"/>
    </row>
    <row r="44" spans="1:34">
      <c r="B44" s="58"/>
    </row>
    <row r="45" spans="1:34" ht="13.8" thickBot="1"/>
    <row r="46" spans="1:34" ht="14.4" thickTop="1" thickBot="1">
      <c r="A46" s="279" t="s">
        <v>74</v>
      </c>
      <c r="B46" s="280"/>
      <c r="C46" s="280"/>
      <c r="D46" s="280"/>
      <c r="E46" s="280"/>
      <c r="F46" s="280"/>
      <c r="G46" s="280"/>
      <c r="H46" s="280"/>
      <c r="I46" s="281"/>
      <c r="J46" s="281"/>
      <c r="K46" s="281"/>
      <c r="L46" s="281"/>
      <c r="M46" s="281"/>
    </row>
    <row r="47" spans="1:34">
      <c r="A47" s="338" t="s">
        <v>28</v>
      </c>
      <c r="B47" s="324"/>
      <c r="C47" s="16" t="s">
        <v>29</v>
      </c>
      <c r="D47" s="339" t="s">
        <v>30</v>
      </c>
      <c r="E47" s="324"/>
      <c r="F47" s="339" t="s">
        <v>31</v>
      </c>
      <c r="G47" s="324"/>
      <c r="H47" s="339" t="s">
        <v>32</v>
      </c>
      <c r="I47" s="324"/>
      <c r="J47" s="16" t="s">
        <v>33</v>
      </c>
      <c r="K47" s="16" t="s">
        <v>34</v>
      </c>
      <c r="L47" s="339" t="s">
        <v>35</v>
      </c>
      <c r="M47" s="323"/>
    </row>
    <row r="48" spans="1:34" ht="60" customHeight="1">
      <c r="A48" s="352" t="s">
        <v>75</v>
      </c>
      <c r="B48" s="285"/>
      <c r="C48" s="10" t="s">
        <v>76</v>
      </c>
      <c r="D48" s="353" t="s">
        <v>77</v>
      </c>
      <c r="E48" s="271"/>
      <c r="F48" s="346" t="s">
        <v>78</v>
      </c>
      <c r="G48" s="285"/>
      <c r="H48" s="346" t="s">
        <v>79</v>
      </c>
      <c r="I48" s="285"/>
      <c r="J48" s="10" t="s">
        <v>80</v>
      </c>
      <c r="K48" s="10" t="s">
        <v>519</v>
      </c>
      <c r="L48" s="346" t="s">
        <v>518</v>
      </c>
      <c r="M48" s="284"/>
    </row>
    <row r="49" spans="1:13" ht="39.6">
      <c r="A49" s="323"/>
      <c r="B49" s="324"/>
      <c r="C49" s="56" t="s">
        <v>404</v>
      </c>
      <c r="D49" s="354" t="s">
        <v>81</v>
      </c>
      <c r="E49" s="291"/>
      <c r="F49" s="355" t="s">
        <v>405</v>
      </c>
      <c r="G49" s="291"/>
      <c r="H49" s="345" t="s">
        <v>82</v>
      </c>
      <c r="I49" s="291"/>
      <c r="J49" s="11" t="s">
        <v>83</v>
      </c>
      <c r="K49" s="12"/>
      <c r="L49" s="345" t="s">
        <v>84</v>
      </c>
      <c r="M49" s="290"/>
    </row>
    <row r="50" spans="1:13">
      <c r="A50" s="290" t="s">
        <v>85</v>
      </c>
      <c r="B50" s="291"/>
      <c r="C50" s="13">
        <f>IF('Segment Tables'!N7="No",365*0.000001*I9*EXP('Segment Tables'!L10)*I10^'Segment Tables'!M10,I9*EXP('Segment Tables'!O10)*I10^'Segment Tables'!P10)</f>
        <v>0.14240267383767719</v>
      </c>
      <c r="D50" s="347">
        <f>IF('Segment Tables'!N7="No",'Segment Tables'!N10/I9,'Segment Tables'!Q10)</f>
        <v>0.247</v>
      </c>
      <c r="E50" s="348"/>
      <c r="F50" s="347">
        <f>+'Segment Tables'!E15/100</f>
        <v>1</v>
      </c>
      <c r="G50" s="349"/>
      <c r="H50" s="347">
        <f>+C50*F50</f>
        <v>0.14240267383767719</v>
      </c>
      <c r="I50" s="348"/>
      <c r="J50" s="162">
        <f>+M42</f>
        <v>2.1179965550743618</v>
      </c>
      <c r="K50" s="39">
        <f>$I$27*VLOOKUP(VLOOKUP($I$11,'Segment Tables'!$P$23:$Q$49,MATCH("Region",'Segment Tables'!$P$23:$Q$23,0),FALSE),'Segment Tables'!$N$15:$O$19,2,FALSE)</f>
        <v>1</v>
      </c>
      <c r="L50" s="350">
        <f>+H50*J50*K50</f>
        <v>0.30160837262157825</v>
      </c>
      <c r="M50" s="351"/>
    </row>
    <row r="51" spans="1:13">
      <c r="A51" s="290" t="s">
        <v>86</v>
      </c>
      <c r="B51" s="291"/>
      <c r="C51" s="91" t="s">
        <v>25</v>
      </c>
      <c r="D51" s="295" t="s">
        <v>25</v>
      </c>
      <c r="E51" s="291"/>
      <c r="F51" s="347">
        <f>+IF('Segment Tables'!$D$8="No",('Segment Tables'!$E$13/100),('Segment Tables'!$H$13/100))</f>
        <v>0.34399999999999997</v>
      </c>
      <c r="G51" s="349"/>
      <c r="H51" s="347">
        <f>+C50*F51</f>
        <v>4.8986519800160951E-2</v>
      </c>
      <c r="I51" s="348"/>
      <c r="J51" s="162">
        <f>+M42</f>
        <v>2.1179965550743618</v>
      </c>
      <c r="K51" s="39">
        <f>$I$27*VLOOKUP(VLOOKUP($I$11,'Segment Tables'!$P$23:$Q$49,MATCH("Region",'Segment Tables'!$P$23:$Q$23,0),FALSE),'Segment Tables'!$N$15:$O$19,2,FALSE)</f>
        <v>1</v>
      </c>
      <c r="L51" s="350">
        <f>+H51*J51*K51</f>
        <v>0.10375328018182291</v>
      </c>
      <c r="M51" s="351"/>
    </row>
    <row r="52" spans="1:13" ht="15.75" customHeight="1" thickBot="1">
      <c r="A52" s="364" t="s">
        <v>87</v>
      </c>
      <c r="B52" s="365"/>
      <c r="C52" s="92" t="s">
        <v>25</v>
      </c>
      <c r="D52" s="366" t="s">
        <v>25</v>
      </c>
      <c r="E52" s="367"/>
      <c r="F52" s="368">
        <f>+IF('Segment Tables'!$D$8="No",('Segment Tables'!$E$14/100),('Segment Tables'!$H$14/100))</f>
        <v>0.65599999999999992</v>
      </c>
      <c r="G52" s="369"/>
      <c r="H52" s="368">
        <f>+C50*F52</f>
        <v>9.3416154037516227E-2</v>
      </c>
      <c r="I52" s="370"/>
      <c r="J52" s="163">
        <f>+M42</f>
        <v>2.1179965550743618</v>
      </c>
      <c r="K52" s="41">
        <f>$I$27*VLOOKUP(VLOOKUP($I$11,'Segment Tables'!$P$23:$Q$49,MATCH("Region",'Segment Tables'!$P$23:$Q$23,0),FALSE),'Segment Tables'!$N$15:$O$19,2,FALSE)</f>
        <v>1</v>
      </c>
      <c r="L52" s="371">
        <f>+H52*J52*K52</f>
        <v>0.1978550924397553</v>
      </c>
      <c r="M52" s="372"/>
    </row>
    <row r="55" spans="1:13" ht="13.8" thickBot="1"/>
    <row r="56" spans="1:13" ht="14.4" thickTop="1" thickBot="1">
      <c r="A56" s="279" t="s">
        <v>88</v>
      </c>
      <c r="B56" s="280"/>
      <c r="C56" s="280"/>
      <c r="D56" s="280"/>
      <c r="E56" s="280"/>
      <c r="F56" s="280"/>
      <c r="G56" s="280"/>
      <c r="H56" s="356"/>
      <c r="I56" s="356"/>
      <c r="J56" s="356"/>
      <c r="K56" s="356"/>
      <c r="L56" s="356"/>
      <c r="M56" s="356"/>
    </row>
    <row r="57" spans="1:13">
      <c r="A57" s="357" t="s">
        <v>28</v>
      </c>
      <c r="B57" s="358"/>
      <c r="C57" s="16" t="s">
        <v>29</v>
      </c>
      <c r="D57" s="359" t="s">
        <v>30</v>
      </c>
      <c r="E57" s="360"/>
      <c r="F57" s="359" t="s">
        <v>31</v>
      </c>
      <c r="G57" s="360"/>
      <c r="H57" s="361" t="s">
        <v>32</v>
      </c>
      <c r="I57" s="362"/>
      <c r="J57" s="359" t="s">
        <v>33</v>
      </c>
      <c r="K57" s="360"/>
      <c r="L57" s="361" t="s">
        <v>34</v>
      </c>
      <c r="M57" s="363"/>
    </row>
    <row r="58" spans="1:13" ht="59.25" customHeight="1">
      <c r="A58" s="375" t="s">
        <v>89</v>
      </c>
      <c r="B58" s="374"/>
      <c r="C58" s="10" t="s">
        <v>93</v>
      </c>
      <c r="D58" s="373" t="s">
        <v>90</v>
      </c>
      <c r="E58" s="291"/>
      <c r="F58" s="373" t="s">
        <v>91</v>
      </c>
      <c r="G58" s="374"/>
      <c r="H58" s="373" t="s">
        <v>92</v>
      </c>
      <c r="I58" s="374"/>
      <c r="J58" s="373" t="s">
        <v>94</v>
      </c>
      <c r="K58" s="374"/>
      <c r="L58" s="373" t="s">
        <v>95</v>
      </c>
      <c r="M58" s="375"/>
    </row>
    <row r="59" spans="1:13" ht="51" customHeight="1">
      <c r="A59" s="375"/>
      <c r="B59" s="374"/>
      <c r="C59" s="56" t="s">
        <v>407</v>
      </c>
      <c r="D59" s="345" t="s">
        <v>96</v>
      </c>
      <c r="E59" s="377"/>
      <c r="F59" s="355" t="s">
        <v>406</v>
      </c>
      <c r="G59" s="376"/>
      <c r="H59" s="345" t="s">
        <v>97</v>
      </c>
      <c r="I59" s="377"/>
      <c r="J59" s="355" t="s">
        <v>406</v>
      </c>
      <c r="K59" s="376"/>
      <c r="L59" s="345" t="s">
        <v>98</v>
      </c>
      <c r="M59" s="378"/>
    </row>
    <row r="60" spans="1:13">
      <c r="A60" s="290" t="s">
        <v>85</v>
      </c>
      <c r="B60" s="291"/>
      <c r="C60" s="13">
        <f>+C69+C76</f>
        <v>1</v>
      </c>
      <c r="D60" s="347">
        <f>+$L$50</f>
        <v>0.30160837262157825</v>
      </c>
      <c r="E60" s="255"/>
      <c r="F60" s="347">
        <f>+F69+F76</f>
        <v>1</v>
      </c>
      <c r="G60" s="348"/>
      <c r="H60" s="347">
        <f>+$L$51</f>
        <v>0.10375328018182291</v>
      </c>
      <c r="I60" s="255"/>
      <c r="J60" s="347">
        <v>1</v>
      </c>
      <c r="K60" s="348"/>
      <c r="L60" s="347">
        <f>+$L$52</f>
        <v>0.1978550924397553</v>
      </c>
      <c r="M60" s="260"/>
    </row>
    <row r="61" spans="1:13" ht="13.8" thickBot="1">
      <c r="A61" s="270"/>
      <c r="B61" s="271"/>
      <c r="C61" s="4"/>
      <c r="D61" s="366" t="s">
        <v>99</v>
      </c>
      <c r="E61" s="379"/>
      <c r="F61" s="380"/>
      <c r="G61" s="381"/>
      <c r="H61" s="382" t="s">
        <v>100</v>
      </c>
      <c r="I61" s="381"/>
      <c r="J61" s="383"/>
      <c r="K61" s="259"/>
      <c r="L61" s="382" t="s">
        <v>101</v>
      </c>
      <c r="M61" s="384"/>
    </row>
    <row r="62" spans="1:13" ht="13.8" thickBot="1">
      <c r="A62" s="385" t="s">
        <v>102</v>
      </c>
      <c r="B62" s="386"/>
      <c r="C62" s="386"/>
      <c r="D62" s="386"/>
      <c r="E62" s="386"/>
      <c r="F62" s="386"/>
      <c r="G62" s="386"/>
      <c r="H62" s="387"/>
      <c r="I62" s="387"/>
      <c r="J62" s="387"/>
      <c r="K62" s="387"/>
      <c r="L62" s="387"/>
      <c r="M62" s="387"/>
    </row>
    <row r="63" spans="1:13">
      <c r="A63" s="388" t="s">
        <v>103</v>
      </c>
      <c r="B63" s="389"/>
      <c r="C63" s="135">
        <f>IF('Segment Tables'!$D$23="No",('Segment Tables'!$G25/100),('Segment Tables'!$K25/100))</f>
        <v>0.113</v>
      </c>
      <c r="D63" s="390">
        <f>+$L$50*C63</f>
        <v>3.4081746106238341E-2</v>
      </c>
      <c r="E63" s="391"/>
      <c r="F63" s="390">
        <f>IF('Segment Tables'!$D$23="No",'Segment Tables'!$E25/100,'Segment Tables'!$I25/100)</f>
        <v>3.5000000000000003E-2</v>
      </c>
      <c r="G63" s="391"/>
      <c r="H63" s="390">
        <f>+$L$51*F63</f>
        <v>3.6313648063638019E-3</v>
      </c>
      <c r="I63" s="391"/>
      <c r="J63" s="390">
        <f>IF('Segment Tables'!$D$23="No",'Segment Tables'!$F25/100,'Segment Tables'!$J25/100)</f>
        <v>0.154</v>
      </c>
      <c r="K63" s="391"/>
      <c r="L63" s="390">
        <f>+$L$52*J63</f>
        <v>3.0469684235722317E-2</v>
      </c>
      <c r="M63" s="392"/>
    </row>
    <row r="64" spans="1:13">
      <c r="A64" s="290" t="s">
        <v>104</v>
      </c>
      <c r="B64" s="291"/>
      <c r="C64" s="135">
        <f>IF('Segment Tables'!$D$23="No",('Segment Tables'!$G26/100),('Segment Tables'!$K26/100))</f>
        <v>4.0000000000000001E-3</v>
      </c>
      <c r="D64" s="347">
        <f t="shared" ref="D64:D69" si="0">+$L$50*C64</f>
        <v>1.2064334904863131E-3</v>
      </c>
      <c r="E64" s="348"/>
      <c r="F64" s="347">
        <f>IF('Segment Tables'!$D$23="No",'Segment Tables'!$E26/100,'Segment Tables'!$I26/100)</f>
        <v>0</v>
      </c>
      <c r="G64" s="348"/>
      <c r="H64" s="347">
        <f t="shared" ref="H64:H69" si="1">+$L$51*F64</f>
        <v>0</v>
      </c>
      <c r="I64" s="348"/>
      <c r="J64" s="347">
        <f>IF('Segment Tables'!$D$23="No",'Segment Tables'!$F26/100,'Segment Tables'!$J26/100)</f>
        <v>6.0000000000000001E-3</v>
      </c>
      <c r="K64" s="348"/>
      <c r="L64" s="347">
        <f t="shared" ref="L64:L69" si="2">+$L$52*J64</f>
        <v>1.1871305546385317E-3</v>
      </c>
      <c r="M64" s="393"/>
    </row>
    <row r="65" spans="1:13">
      <c r="A65" s="290" t="s">
        <v>105</v>
      </c>
      <c r="B65" s="291"/>
      <c r="C65" s="135">
        <f>IF('Segment Tables'!$D$23="No",('Segment Tables'!$G27/100),('Segment Tables'!$K27/100))</f>
        <v>0</v>
      </c>
      <c r="D65" s="347">
        <f t="shared" si="0"/>
        <v>0</v>
      </c>
      <c r="E65" s="348"/>
      <c r="F65" s="347">
        <f>IF('Segment Tables'!$D$23="No",'Segment Tables'!$E27/100,'Segment Tables'!$I27/100)</f>
        <v>0</v>
      </c>
      <c r="G65" s="348"/>
      <c r="H65" s="347">
        <f t="shared" si="1"/>
        <v>0</v>
      </c>
      <c r="I65" s="348"/>
      <c r="J65" s="347">
        <f>IF('Segment Tables'!$D$23="No",'Segment Tables'!$F27/100,'Segment Tables'!$J27/100)</f>
        <v>0</v>
      </c>
      <c r="K65" s="348"/>
      <c r="L65" s="347">
        <f t="shared" si="2"/>
        <v>0</v>
      </c>
      <c r="M65" s="393"/>
    </row>
    <row r="66" spans="1:13">
      <c r="A66" s="290" t="s">
        <v>106</v>
      </c>
      <c r="B66" s="291"/>
      <c r="C66" s="135">
        <f>IF('Segment Tables'!$D$23="No",('Segment Tables'!$G28/100),('Segment Tables'!$K28/100))</f>
        <v>0</v>
      </c>
      <c r="D66" s="347">
        <f t="shared" si="0"/>
        <v>0</v>
      </c>
      <c r="E66" s="348"/>
      <c r="F66" s="347">
        <f>IF('Segment Tables'!$D$23="No",'Segment Tables'!$E28/100,'Segment Tables'!$I28/100)</f>
        <v>0</v>
      </c>
      <c r="G66" s="348"/>
      <c r="H66" s="347">
        <f t="shared" si="1"/>
        <v>0</v>
      </c>
      <c r="I66" s="348"/>
      <c r="J66" s="347">
        <f>IF('Segment Tables'!$D$23="No",'Segment Tables'!$F28/100,'Segment Tables'!$J28/100)</f>
        <v>0</v>
      </c>
      <c r="K66" s="348"/>
      <c r="L66" s="347">
        <f t="shared" si="2"/>
        <v>0</v>
      </c>
      <c r="M66" s="393"/>
    </row>
    <row r="67" spans="1:13">
      <c r="A67" s="290" t="s">
        <v>107</v>
      </c>
      <c r="B67" s="291"/>
      <c r="C67" s="135">
        <f>IF('Segment Tables'!$D$23="No",('Segment Tables'!$G29/100),('Segment Tables'!$K29/100))</f>
        <v>0.53</v>
      </c>
      <c r="D67" s="347">
        <f t="shared" si="0"/>
        <v>0.15985243748943648</v>
      </c>
      <c r="E67" s="348"/>
      <c r="F67" s="347">
        <f>IF('Segment Tables'!$D$23="No",'Segment Tables'!$E29/100,'Segment Tables'!$I29/100)</f>
        <v>0.63500000000000001</v>
      </c>
      <c r="G67" s="348"/>
      <c r="H67" s="347">
        <f t="shared" si="1"/>
        <v>6.5883332915457546E-2</v>
      </c>
      <c r="I67" s="348"/>
      <c r="J67" s="347">
        <f>IF('Segment Tables'!$D$23="No",'Segment Tables'!$F29/100,'Segment Tables'!$J29/100)</f>
        <v>0.47499999999999998</v>
      </c>
      <c r="K67" s="348"/>
      <c r="L67" s="347">
        <f t="shared" si="2"/>
        <v>9.3981168908883764E-2</v>
      </c>
      <c r="M67" s="393"/>
    </row>
    <row r="68" spans="1:13">
      <c r="A68" s="290" t="s">
        <v>108</v>
      </c>
      <c r="B68" s="291"/>
      <c r="C68" s="135">
        <f>IF('Segment Tables'!$D$23="No",('Segment Tables'!$G30/100),('Segment Tables'!$K30/100))</f>
        <v>6.5000000000000002E-2</v>
      </c>
      <c r="D68" s="347">
        <f t="shared" si="0"/>
        <v>1.9604544220402587E-2</v>
      </c>
      <c r="E68" s="348"/>
      <c r="F68" s="347">
        <f>IF('Segment Tables'!$D$23="No",'Segment Tables'!$E30/100,'Segment Tables'!$I30/100)</f>
        <v>7.0999999999999994E-2</v>
      </c>
      <c r="G68" s="348"/>
      <c r="H68" s="347">
        <f t="shared" si="1"/>
        <v>7.3664828929094258E-3</v>
      </c>
      <c r="I68" s="348"/>
      <c r="J68" s="347">
        <f>IF('Segment Tables'!$D$23="No",'Segment Tables'!$F30/100,'Segment Tables'!$J30/100)</f>
        <v>6.2E-2</v>
      </c>
      <c r="K68" s="348"/>
      <c r="L68" s="347">
        <f t="shared" si="2"/>
        <v>1.2267015731264829E-2</v>
      </c>
      <c r="M68" s="393"/>
    </row>
    <row r="69" spans="1:13" ht="13.8" thickBot="1">
      <c r="A69" s="394" t="s">
        <v>109</v>
      </c>
      <c r="B69" s="367"/>
      <c r="C69" s="249">
        <f>+SUM(C63:C68)</f>
        <v>0.71199999999999997</v>
      </c>
      <c r="D69" s="368">
        <f t="shared" si="0"/>
        <v>0.21474516130656371</v>
      </c>
      <c r="E69" s="370"/>
      <c r="F69" s="347">
        <f>SUM(F63:G68)</f>
        <v>0.74099999999999999</v>
      </c>
      <c r="G69" s="348"/>
      <c r="H69" s="368">
        <f t="shared" si="1"/>
        <v>7.6881180614730774E-2</v>
      </c>
      <c r="I69" s="370"/>
      <c r="J69" s="347">
        <f>SUM(J63:K68)</f>
        <v>0.69700000000000006</v>
      </c>
      <c r="K69" s="348"/>
      <c r="L69" s="368">
        <f t="shared" si="2"/>
        <v>0.13790499943050946</v>
      </c>
      <c r="M69" s="395"/>
    </row>
    <row r="70" spans="1:13" ht="13.8" thickBot="1">
      <c r="A70" s="385" t="s">
        <v>110</v>
      </c>
      <c r="B70" s="386"/>
      <c r="C70" s="386"/>
      <c r="D70" s="386"/>
      <c r="E70" s="386"/>
      <c r="F70" s="386"/>
      <c r="G70" s="386"/>
      <c r="H70" s="387"/>
      <c r="I70" s="387"/>
      <c r="J70" s="387"/>
      <c r="K70" s="387"/>
      <c r="L70" s="387"/>
      <c r="M70" s="387"/>
    </row>
    <row r="71" spans="1:13">
      <c r="A71" s="396" t="s">
        <v>111</v>
      </c>
      <c r="B71" s="397"/>
      <c r="C71" s="135">
        <f>IF('Segment Tables'!$D$23="No",('Segment Tables'!$G33/100),('Segment Tables'!$K33/100))</f>
        <v>2.7999999999999997E-2</v>
      </c>
      <c r="D71" s="347">
        <f t="shared" ref="D71:D76" si="3">+$L$50*C71</f>
        <v>8.4450344334041898E-3</v>
      </c>
      <c r="E71" s="348"/>
      <c r="F71" s="390">
        <f>IF('Segment Tables'!$D$23="No",'Segment Tables'!$E33/100,'Segment Tables'!$I33/100)</f>
        <v>3.5000000000000003E-2</v>
      </c>
      <c r="G71" s="391"/>
      <c r="H71" s="390">
        <f t="shared" ref="H71:H76" si="4">+$L$51*F71</f>
        <v>3.6313648063638019E-3</v>
      </c>
      <c r="I71" s="391"/>
      <c r="J71" s="390">
        <f>IF('Segment Tables'!$D$23="No",'Segment Tables'!$F33/100,'Segment Tables'!$J33/100)</f>
        <v>2.5000000000000001E-2</v>
      </c>
      <c r="K71" s="391"/>
      <c r="L71" s="390">
        <f>+$L$52*J71</f>
        <v>4.9463773109938826E-3</v>
      </c>
      <c r="M71" s="392"/>
    </row>
    <row r="72" spans="1:13">
      <c r="A72" s="290" t="s">
        <v>112</v>
      </c>
      <c r="B72" s="291"/>
      <c r="C72" s="135">
        <f>IF('Segment Tables'!$D$23="No",('Segment Tables'!$G34/100),('Segment Tables'!$K34/100))</f>
        <v>4.4999999999999998E-2</v>
      </c>
      <c r="D72" s="347">
        <f t="shared" si="3"/>
        <v>1.3572376767971021E-2</v>
      </c>
      <c r="E72" s="348"/>
      <c r="F72" s="347">
        <f>IF('Segment Tables'!$D$23="No",'Segment Tables'!$E34/100,'Segment Tables'!$I34/100)</f>
        <v>3.5000000000000003E-2</v>
      </c>
      <c r="G72" s="348"/>
      <c r="H72" s="347">
        <f t="shared" si="4"/>
        <v>3.6313648063638019E-3</v>
      </c>
      <c r="I72" s="348"/>
      <c r="J72" s="347">
        <f>IF('Segment Tables'!$D$23="No",'Segment Tables'!$F34/100,'Segment Tables'!$J34/100)</f>
        <v>4.9000000000000002E-2</v>
      </c>
      <c r="K72" s="348"/>
      <c r="L72" s="347">
        <f>+$L$52*J72</f>
        <v>9.6948995295480095E-3</v>
      </c>
      <c r="M72" s="393"/>
    </row>
    <row r="73" spans="1:13">
      <c r="A73" s="290" t="s">
        <v>113</v>
      </c>
      <c r="B73" s="291"/>
      <c r="C73" s="135">
        <f>IF('Segment Tables'!$D$23="No",('Segment Tables'!$G35/100),('Segment Tables'!$K35/100))</f>
        <v>5.7000000000000002E-2</v>
      </c>
      <c r="D73" s="347">
        <f t="shared" si="3"/>
        <v>1.7191677239429961E-2</v>
      </c>
      <c r="E73" s="348"/>
      <c r="F73" s="347">
        <f>IF('Segment Tables'!$D$23="No",'Segment Tables'!$E35/100,'Segment Tables'!$I35/100)</f>
        <v>7.0999999999999994E-2</v>
      </c>
      <c r="G73" s="348"/>
      <c r="H73" s="347">
        <f t="shared" si="4"/>
        <v>7.3664828929094258E-3</v>
      </c>
      <c r="I73" s="348"/>
      <c r="J73" s="347">
        <f>IF('Segment Tables'!$D$23="No",'Segment Tables'!$F35/100,'Segment Tables'!$J35/100)</f>
        <v>4.9000000000000002E-2</v>
      </c>
      <c r="K73" s="348"/>
      <c r="L73" s="347">
        <f>+$L$52*J73</f>
        <v>9.6948995295480095E-3</v>
      </c>
      <c r="M73" s="393"/>
    </row>
    <row r="74" spans="1:13">
      <c r="A74" s="290" t="s">
        <v>114</v>
      </c>
      <c r="B74" s="291"/>
      <c r="C74" s="135">
        <f>IF('Segment Tables'!$D$23="No",('Segment Tables'!$G36/100),('Segment Tables'!$K36/100))</f>
        <v>0.02</v>
      </c>
      <c r="D74" s="347">
        <f t="shared" si="3"/>
        <v>6.032167452431565E-3</v>
      </c>
      <c r="E74" s="348"/>
      <c r="F74" s="347">
        <f>IF('Segment Tables'!$D$23="No",'Segment Tables'!$E36/100,'Segment Tables'!$I36/100)</f>
        <v>1.2E-2</v>
      </c>
      <c r="G74" s="348"/>
      <c r="H74" s="347">
        <f t="shared" si="4"/>
        <v>1.2450393621818749E-3</v>
      </c>
      <c r="I74" s="348"/>
      <c r="J74" s="347">
        <f>IF('Segment Tables'!$D$23="No",'Segment Tables'!$F36/100,'Segment Tables'!$J36/100)</f>
        <v>2.5000000000000001E-2</v>
      </c>
      <c r="K74" s="348"/>
      <c r="L74" s="347">
        <f>+$L$52*J74</f>
        <v>4.9463773109938826E-3</v>
      </c>
      <c r="M74" s="393"/>
    </row>
    <row r="75" spans="1:13">
      <c r="A75" s="290" t="s">
        <v>115</v>
      </c>
      <c r="B75" s="291"/>
      <c r="C75" s="135">
        <f>IF('Segment Tables'!$D$23="No",('Segment Tables'!$G37/100),('Segment Tables'!$K37/100))</f>
        <v>0.13800000000000001</v>
      </c>
      <c r="D75" s="347">
        <f t="shared" si="3"/>
        <v>4.1621955421777802E-2</v>
      </c>
      <c r="E75" s="348"/>
      <c r="F75" s="347">
        <f>IF('Segment Tables'!$D$23="No",'Segment Tables'!$E37/100,'Segment Tables'!$I37/100)</f>
        <v>0.106</v>
      </c>
      <c r="G75" s="348"/>
      <c r="H75" s="347">
        <f t="shared" si="4"/>
        <v>1.0997847699273228E-2</v>
      </c>
      <c r="I75" s="348"/>
      <c r="J75" s="347">
        <f>IF('Segment Tables'!$D$23="No",'Segment Tables'!$F37/100,'Segment Tables'!$J37/100)</f>
        <v>0.154</v>
      </c>
      <c r="K75" s="348"/>
      <c r="L75" s="347">
        <f>+$L$52*J75</f>
        <v>3.0469684235722317E-2</v>
      </c>
      <c r="M75" s="393"/>
    </row>
    <row r="76" spans="1:13" ht="13.8" thickBot="1">
      <c r="A76" s="398" t="s">
        <v>148</v>
      </c>
      <c r="B76" s="367"/>
      <c r="C76" s="82">
        <f>SUM(C71:C75)</f>
        <v>0.28800000000000003</v>
      </c>
      <c r="D76" s="368">
        <f t="shared" si="3"/>
        <v>8.6863211315014552E-2</v>
      </c>
      <c r="E76" s="370"/>
      <c r="F76" s="368">
        <f>SUM(F71:F75)</f>
        <v>0.25900000000000001</v>
      </c>
      <c r="G76" s="370"/>
      <c r="H76" s="368">
        <f t="shared" si="4"/>
        <v>2.6872099567092134E-2</v>
      </c>
      <c r="I76" s="370"/>
      <c r="J76" s="368">
        <f>SUM(J71:J75)</f>
        <v>0.30200000000000005</v>
      </c>
      <c r="K76" s="370"/>
      <c r="L76" s="368">
        <f>SUM(L71:L75)</f>
        <v>5.9752237916806103E-2</v>
      </c>
      <c r="M76" s="395"/>
    </row>
    <row r="79" spans="1:13" ht="13.8" thickBot="1"/>
    <row r="80" spans="1:13" ht="14.4" thickTop="1" thickBot="1">
      <c r="A80" s="279" t="s">
        <v>116</v>
      </c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</row>
    <row r="81" spans="1:13">
      <c r="A81" s="401" t="s">
        <v>28</v>
      </c>
      <c r="B81" s="401"/>
      <c r="C81" s="402"/>
      <c r="D81" s="403" t="s">
        <v>29</v>
      </c>
      <c r="E81" s="401"/>
      <c r="F81" s="402"/>
      <c r="G81" s="403" t="s">
        <v>30</v>
      </c>
      <c r="H81" s="401"/>
      <c r="I81" s="402"/>
      <c r="J81" s="403" t="s">
        <v>31</v>
      </c>
      <c r="K81" s="402"/>
      <c r="L81" s="403" t="s">
        <v>32</v>
      </c>
      <c r="M81" s="401"/>
    </row>
    <row r="82" spans="1:13" ht="36" customHeight="1">
      <c r="A82" s="427" t="s">
        <v>117</v>
      </c>
      <c r="B82" s="427"/>
      <c r="C82" s="428"/>
      <c r="D82" s="373" t="s">
        <v>408</v>
      </c>
      <c r="E82" s="375"/>
      <c r="F82" s="374"/>
      <c r="G82" s="373" t="s">
        <v>118</v>
      </c>
      <c r="H82" s="375"/>
      <c r="I82" s="374"/>
      <c r="J82" s="373" t="s">
        <v>119</v>
      </c>
      <c r="K82" s="374"/>
      <c r="L82" s="373" t="s">
        <v>120</v>
      </c>
      <c r="M82" s="375"/>
    </row>
    <row r="83" spans="1:13">
      <c r="A83" s="427"/>
      <c r="B83" s="427"/>
      <c r="C83" s="428"/>
      <c r="D83" s="295" t="s">
        <v>121</v>
      </c>
      <c r="E83" s="290"/>
      <c r="F83" s="291"/>
      <c r="G83" s="295" t="s">
        <v>122</v>
      </c>
      <c r="H83" s="399"/>
      <c r="I83" s="400"/>
      <c r="J83" s="373"/>
      <c r="K83" s="374"/>
      <c r="L83" s="295" t="s">
        <v>123</v>
      </c>
      <c r="M83" s="399"/>
    </row>
    <row r="84" spans="1:13">
      <c r="A84" s="420" t="s">
        <v>85</v>
      </c>
      <c r="B84" s="420"/>
      <c r="C84" s="421"/>
      <c r="D84" s="347">
        <f>+F50</f>
        <v>1</v>
      </c>
      <c r="E84" s="260"/>
      <c r="F84" s="255"/>
      <c r="G84" s="422">
        <f>+L50</f>
        <v>0.30160837262157825</v>
      </c>
      <c r="H84" s="423"/>
      <c r="I84" s="424"/>
      <c r="J84" s="304">
        <f>+$I$9</f>
        <v>0.1</v>
      </c>
      <c r="K84" s="255"/>
      <c r="L84" s="425">
        <f>+G84/J84</f>
        <v>3.0160837262157822</v>
      </c>
      <c r="M84" s="426"/>
    </row>
    <row r="85" spans="1:13">
      <c r="A85" s="420" t="s">
        <v>86</v>
      </c>
      <c r="B85" s="420"/>
      <c r="C85" s="421"/>
      <c r="D85" s="347">
        <f>+F51</f>
        <v>0.34399999999999997</v>
      </c>
      <c r="E85" s="260"/>
      <c r="F85" s="255"/>
      <c r="G85" s="422">
        <f>+L51</f>
        <v>0.10375328018182291</v>
      </c>
      <c r="H85" s="423"/>
      <c r="I85" s="424"/>
      <c r="J85" s="304">
        <f>+$I$9</f>
        <v>0.1</v>
      </c>
      <c r="K85" s="255"/>
      <c r="L85" s="425">
        <f>+G85/J85</f>
        <v>1.037532801818229</v>
      </c>
      <c r="M85" s="426"/>
    </row>
    <row r="86" spans="1:13" ht="13.8" thickBot="1">
      <c r="A86" s="412" t="s">
        <v>87</v>
      </c>
      <c r="B86" s="412"/>
      <c r="C86" s="413"/>
      <c r="D86" s="368">
        <f>+F52</f>
        <v>0.65599999999999992</v>
      </c>
      <c r="E86" s="414"/>
      <c r="F86" s="259"/>
      <c r="G86" s="415">
        <f>+L52</f>
        <v>0.1978550924397553</v>
      </c>
      <c r="H86" s="416"/>
      <c r="I86" s="417"/>
      <c r="J86" s="383">
        <f>+$I$9</f>
        <v>0.1</v>
      </c>
      <c r="K86" s="259"/>
      <c r="L86" s="418">
        <f>+G86/J86</f>
        <v>1.978550924397553</v>
      </c>
      <c r="M86" s="419"/>
    </row>
  </sheetData>
  <sheetProtection sheet="1" objects="1" scenarios="1"/>
  <mergeCells count="300">
    <mergeCell ref="A10:B10"/>
    <mergeCell ref="AD11:AE11"/>
    <mergeCell ref="AD10:AE10"/>
    <mergeCell ref="AD6:AH7"/>
    <mergeCell ref="AD8:AE9"/>
    <mergeCell ref="AF8:AH8"/>
    <mergeCell ref="A21:F21"/>
    <mergeCell ref="A22:F22"/>
    <mergeCell ref="A23:F23"/>
    <mergeCell ref="G14:H14"/>
    <mergeCell ref="G15:H15"/>
    <mergeCell ref="G16:H16"/>
    <mergeCell ref="G17:H17"/>
    <mergeCell ref="A20:F20"/>
    <mergeCell ref="G23:H23"/>
    <mergeCell ref="A16:F16"/>
    <mergeCell ref="A17:F17"/>
    <mergeCell ref="G12:H12"/>
    <mergeCell ref="G13:H13"/>
    <mergeCell ref="K14:L14"/>
    <mergeCell ref="I19:M19"/>
    <mergeCell ref="A13:F13"/>
    <mergeCell ref="A14:F14"/>
    <mergeCell ref="A15:F15"/>
    <mergeCell ref="G3:M3"/>
    <mergeCell ref="G4:I4"/>
    <mergeCell ref="G5:I5"/>
    <mergeCell ref="G6:I6"/>
    <mergeCell ref="G7:I7"/>
    <mergeCell ref="I8:M8"/>
    <mergeCell ref="G8:H8"/>
    <mergeCell ref="L50:M50"/>
    <mergeCell ref="A50:B50"/>
    <mergeCell ref="D48:E48"/>
    <mergeCell ref="D49:E49"/>
    <mergeCell ref="D50:E50"/>
    <mergeCell ref="L47:M47"/>
    <mergeCell ref="L48:M48"/>
    <mergeCell ref="A47:B47"/>
    <mergeCell ref="F50:G50"/>
    <mergeCell ref="L49:M49"/>
    <mergeCell ref="A48:B49"/>
    <mergeCell ref="G25:H25"/>
    <mergeCell ref="F48:G48"/>
    <mergeCell ref="M33:M36"/>
    <mergeCell ref="K38:K41"/>
    <mergeCell ref="D38:D41"/>
    <mergeCell ref="E38:E41"/>
    <mergeCell ref="J38:J41"/>
    <mergeCell ref="H38:H41"/>
    <mergeCell ref="L51:M51"/>
    <mergeCell ref="J4:M4"/>
    <mergeCell ref="J5:M5"/>
    <mergeCell ref="J6:M6"/>
    <mergeCell ref="J7:M7"/>
    <mergeCell ref="I12:M12"/>
    <mergeCell ref="G9:H9"/>
    <mergeCell ref="G10:H10"/>
    <mergeCell ref="K13:L13"/>
    <mergeCell ref="L38:L41"/>
    <mergeCell ref="M38:M41"/>
    <mergeCell ref="G38:G41"/>
    <mergeCell ref="I38:I41"/>
    <mergeCell ref="G27:H27"/>
    <mergeCell ref="I11:M11"/>
    <mergeCell ref="G11:H11"/>
    <mergeCell ref="I22:M22"/>
    <mergeCell ref="I23:M23"/>
    <mergeCell ref="I15:M15"/>
    <mergeCell ref="I26:M26"/>
    <mergeCell ref="I27:M27"/>
    <mergeCell ref="I20:M20"/>
    <mergeCell ref="A12:F12"/>
    <mergeCell ref="A52:B52"/>
    <mergeCell ref="D51:E51"/>
    <mergeCell ref="D52:E52"/>
    <mergeCell ref="F47:G47"/>
    <mergeCell ref="A51:B51"/>
    <mergeCell ref="F51:G51"/>
    <mergeCell ref="A25:F25"/>
    <mergeCell ref="A26:F26"/>
    <mergeCell ref="A27:F27"/>
    <mergeCell ref="A38:A41"/>
    <mergeCell ref="B38:B41"/>
    <mergeCell ref="C38:C41"/>
    <mergeCell ref="F38:F41"/>
    <mergeCell ref="A18:F18"/>
    <mergeCell ref="G18:H18"/>
    <mergeCell ref="G19:H19"/>
    <mergeCell ref="G20:H20"/>
    <mergeCell ref="D24:F24"/>
    <mergeCell ref="A24:C24"/>
    <mergeCell ref="A11:F11"/>
    <mergeCell ref="H59:I59"/>
    <mergeCell ref="H60:I60"/>
    <mergeCell ref="J57:K57"/>
    <mergeCell ref="J58:K58"/>
    <mergeCell ref="J59:K59"/>
    <mergeCell ref="A2:M2"/>
    <mergeCell ref="A3:F3"/>
    <mergeCell ref="A7:C7"/>
    <mergeCell ref="D7:F7"/>
    <mergeCell ref="A8:F8"/>
    <mergeCell ref="I18:M18"/>
    <mergeCell ref="D4:F4"/>
    <mergeCell ref="D5:F5"/>
    <mergeCell ref="D6:F6"/>
    <mergeCell ref="A4:C4"/>
    <mergeCell ref="I9:M9"/>
    <mergeCell ref="I10:M10"/>
    <mergeCell ref="I16:M16"/>
    <mergeCell ref="I17:M17"/>
    <mergeCell ref="A5:C5"/>
    <mergeCell ref="A6:C6"/>
    <mergeCell ref="A9:F9"/>
    <mergeCell ref="A19:F19"/>
    <mergeCell ref="A73:B73"/>
    <mergeCell ref="I24:M24"/>
    <mergeCell ref="F52:G52"/>
    <mergeCell ref="H50:I50"/>
    <mergeCell ref="H51:I51"/>
    <mergeCell ref="H52:I52"/>
    <mergeCell ref="A69:B69"/>
    <mergeCell ref="F57:G57"/>
    <mergeCell ref="F67:G67"/>
    <mergeCell ref="A63:B63"/>
    <mergeCell ref="F58:G58"/>
    <mergeCell ref="F59:G59"/>
    <mergeCell ref="D59:E59"/>
    <mergeCell ref="A66:B66"/>
    <mergeCell ref="A67:B67"/>
    <mergeCell ref="A64:B64"/>
    <mergeCell ref="A65:B65"/>
    <mergeCell ref="D67:E67"/>
    <mergeCell ref="F65:G65"/>
    <mergeCell ref="A72:B72"/>
    <mergeCell ref="D68:E68"/>
    <mergeCell ref="D69:E69"/>
    <mergeCell ref="D71:E71"/>
    <mergeCell ref="F61:G61"/>
    <mergeCell ref="D72:E72"/>
    <mergeCell ref="D73:E73"/>
    <mergeCell ref="A71:B71"/>
    <mergeCell ref="A70:M70"/>
    <mergeCell ref="A68:B68"/>
    <mergeCell ref="F68:G68"/>
    <mergeCell ref="D61:E61"/>
    <mergeCell ref="D63:E63"/>
    <mergeCell ref="D64:E64"/>
    <mergeCell ref="D65:E65"/>
    <mergeCell ref="D66:E66"/>
    <mergeCell ref="A62:M62"/>
    <mergeCell ref="F64:G64"/>
    <mergeCell ref="H66:I66"/>
    <mergeCell ref="L61:M61"/>
    <mergeCell ref="L63:M63"/>
    <mergeCell ref="H71:I71"/>
    <mergeCell ref="H72:I72"/>
    <mergeCell ref="F72:G72"/>
    <mergeCell ref="H73:I73"/>
    <mergeCell ref="F69:G69"/>
    <mergeCell ref="F71:G71"/>
    <mergeCell ref="F73:G73"/>
    <mergeCell ref="H61:I61"/>
    <mergeCell ref="D74:E74"/>
    <mergeCell ref="A74:B74"/>
    <mergeCell ref="A75:B75"/>
    <mergeCell ref="A76:B76"/>
    <mergeCell ref="D75:E75"/>
    <mergeCell ref="D76:E76"/>
    <mergeCell ref="F74:G74"/>
    <mergeCell ref="F75:G75"/>
    <mergeCell ref="F76:G76"/>
    <mergeCell ref="L67:M67"/>
    <mergeCell ref="L60:M60"/>
    <mergeCell ref="H64:I64"/>
    <mergeCell ref="H65:I65"/>
    <mergeCell ref="L59:M59"/>
    <mergeCell ref="L52:M52"/>
    <mergeCell ref="L68:M68"/>
    <mergeCell ref="J67:K67"/>
    <mergeCell ref="J68:K68"/>
    <mergeCell ref="L64:M64"/>
    <mergeCell ref="L65:M65"/>
    <mergeCell ref="L66:M66"/>
    <mergeCell ref="H67:I67"/>
    <mergeCell ref="H68:I68"/>
    <mergeCell ref="A56:M56"/>
    <mergeCell ref="L57:M57"/>
    <mergeCell ref="A61:B61"/>
    <mergeCell ref="D57:E57"/>
    <mergeCell ref="D58:E58"/>
    <mergeCell ref="A57:B57"/>
    <mergeCell ref="A58:B59"/>
    <mergeCell ref="A60:B60"/>
    <mergeCell ref="F60:G60"/>
    <mergeCell ref="D60:E60"/>
    <mergeCell ref="J64:K64"/>
    <mergeCell ref="J65:K65"/>
    <mergeCell ref="J66:K66"/>
    <mergeCell ref="H63:I63"/>
    <mergeCell ref="L58:M58"/>
    <mergeCell ref="J61:K61"/>
    <mergeCell ref="J63:K63"/>
    <mergeCell ref="D47:E47"/>
    <mergeCell ref="K33:K36"/>
    <mergeCell ref="F33:F36"/>
    <mergeCell ref="G33:G36"/>
    <mergeCell ref="J33:J36"/>
    <mergeCell ref="H48:I48"/>
    <mergeCell ref="H49:I49"/>
    <mergeCell ref="F49:G49"/>
    <mergeCell ref="A46:M46"/>
    <mergeCell ref="L33:L36"/>
    <mergeCell ref="I33:I36"/>
    <mergeCell ref="H47:I47"/>
    <mergeCell ref="J60:K60"/>
    <mergeCell ref="F66:G66"/>
    <mergeCell ref="F63:G63"/>
    <mergeCell ref="H57:I57"/>
    <mergeCell ref="H58:I58"/>
    <mergeCell ref="L69:M69"/>
    <mergeCell ref="L71:M71"/>
    <mergeCell ref="L72:M72"/>
    <mergeCell ref="L73:M73"/>
    <mergeCell ref="L74:M74"/>
    <mergeCell ref="L75:M75"/>
    <mergeCell ref="L76:M76"/>
    <mergeCell ref="A80:M80"/>
    <mergeCell ref="L81:M81"/>
    <mergeCell ref="J81:K81"/>
    <mergeCell ref="G81:I81"/>
    <mergeCell ref="D81:F81"/>
    <mergeCell ref="A81:C81"/>
    <mergeCell ref="H69:I69"/>
    <mergeCell ref="J71:K71"/>
    <mergeCell ref="J72:K72"/>
    <mergeCell ref="J73:K73"/>
    <mergeCell ref="J74:K74"/>
    <mergeCell ref="J75:K75"/>
    <mergeCell ref="J76:K76"/>
    <mergeCell ref="J69:K69"/>
    <mergeCell ref="H74:I74"/>
    <mergeCell ref="H75:I75"/>
    <mergeCell ref="H76:I76"/>
    <mergeCell ref="G86:I86"/>
    <mergeCell ref="J84:K84"/>
    <mergeCell ref="J85:K85"/>
    <mergeCell ref="J86:K86"/>
    <mergeCell ref="A84:C84"/>
    <mergeCell ref="A85:C85"/>
    <mergeCell ref="A86:C86"/>
    <mergeCell ref="L83:M83"/>
    <mergeCell ref="L86:M86"/>
    <mergeCell ref="L84:M84"/>
    <mergeCell ref="L85:M85"/>
    <mergeCell ref="G84:I84"/>
    <mergeCell ref="G85:I85"/>
    <mergeCell ref="D84:F84"/>
    <mergeCell ref="D85:F85"/>
    <mergeCell ref="D86:F86"/>
    <mergeCell ref="D83:F83"/>
    <mergeCell ref="G83:I83"/>
    <mergeCell ref="A82:C83"/>
    <mergeCell ref="L82:M82"/>
    <mergeCell ref="J82:K83"/>
    <mergeCell ref="G82:I82"/>
    <mergeCell ref="D82:F82"/>
    <mergeCell ref="I21:M21"/>
    <mergeCell ref="A33:A36"/>
    <mergeCell ref="B33:B36"/>
    <mergeCell ref="C33:C36"/>
    <mergeCell ref="D33:D36"/>
    <mergeCell ref="E33:E36"/>
    <mergeCell ref="H33:H36"/>
    <mergeCell ref="G24:H24"/>
    <mergeCell ref="I25:M25"/>
    <mergeCell ref="A31:M31"/>
    <mergeCell ref="G26:H26"/>
    <mergeCell ref="G21:H21"/>
    <mergeCell ref="G22:H22"/>
    <mergeCell ref="AD34:AE34"/>
    <mergeCell ref="AD35:AH38"/>
    <mergeCell ref="AD27:AE27"/>
    <mergeCell ref="AD29:AE29"/>
    <mergeCell ref="AD31:AE31"/>
    <mergeCell ref="AD33:AE33"/>
    <mergeCell ref="AD30:AE30"/>
    <mergeCell ref="AD32:AE32"/>
    <mergeCell ref="AD24:AE25"/>
    <mergeCell ref="AF24:AH24"/>
    <mergeCell ref="AD13:AE13"/>
    <mergeCell ref="AD15:AE15"/>
    <mergeCell ref="AD17:AH20"/>
    <mergeCell ref="AD26:AE26"/>
    <mergeCell ref="AD28:AE28"/>
    <mergeCell ref="AD12:AE12"/>
    <mergeCell ref="AD14:AE14"/>
    <mergeCell ref="AD16:AE16"/>
    <mergeCell ref="AD22:AH23"/>
  </mergeCells>
  <conditionalFormatting sqref="I10:M10">
    <cfRule type="cellIs" dxfId="32" priority="8" stopIfTrue="1" operator="greaterThan">
      <formula>$E$10</formula>
    </cfRule>
  </conditionalFormatting>
  <conditionalFormatting sqref="I16:M16 I18:M18">
    <cfRule type="expression" dxfId="31" priority="3">
      <formula>I$15&gt;0</formula>
    </cfRule>
    <cfRule type="expression" dxfId="30" priority="4">
      <formula>I$15=0</formula>
    </cfRule>
  </conditionalFormatting>
  <conditionalFormatting sqref="I17:M17">
    <cfRule type="expression" dxfId="29" priority="1">
      <formula>I$15&gt;0</formula>
    </cfRule>
    <cfRule type="expression" dxfId="28" priority="2">
      <formula>I$15=0</formula>
    </cfRule>
  </conditionalFormatting>
  <conditionalFormatting sqref="N10">
    <cfRule type="expression" dxfId="27" priority="7">
      <formula>I10&gt;E10</formula>
    </cfRule>
  </conditionalFormatting>
  <dataValidations count="16">
    <dataValidation type="list" allowBlank="1" showInputMessage="1" showErrorMessage="1" sqref="I12:M12" xr:uid="{00000000-0002-0000-0200-000000000000}">
      <formula1>LWidth</formula1>
    </dataValidation>
    <dataValidation type="list" allowBlank="1" showInputMessage="1" showErrorMessage="1" sqref="M13 J13" xr:uid="{00000000-0002-0000-0200-000001000000}">
      <formula1>SWidth</formula1>
    </dataValidation>
    <dataValidation type="list" allowBlank="1" showInputMessage="1" showErrorMessage="1" sqref="I24:M24" xr:uid="{00000000-0002-0000-0200-000002000000}">
      <formula1>RHR</formula1>
    </dataValidation>
    <dataValidation type="list" allowBlank="1" showInputMessage="1" showErrorMessage="1" sqref="M14 J14" xr:uid="{00000000-0002-0000-0200-000003000000}">
      <formula1>SType</formula1>
    </dataValidation>
    <dataValidation type="list" allowBlank="1" showInputMessage="1" showErrorMessage="1" sqref="I17:M17" xr:uid="{00000000-0002-0000-0200-000004000000}">
      <formula1>Spiral2</formula1>
    </dataValidation>
    <dataValidation type="list" allowBlank="1" showInputMessage="1" showErrorMessage="1" sqref="I21:M21" xr:uid="{00000000-0002-0000-0200-000005000000}">
      <formula1>CRumble</formula1>
    </dataValidation>
    <dataValidation type="list" allowBlank="1" showInputMessage="1" showErrorMessage="1" sqref="I22:M22" xr:uid="{00000000-0002-0000-0200-000006000000}">
      <formula1>PLane2</formula1>
    </dataValidation>
    <dataValidation type="list" allowBlank="1" showInputMessage="1" showErrorMessage="1" sqref="I23:M23" xr:uid="{00000000-0002-0000-0200-000007000000}">
      <formula1>TWLTL</formula1>
    </dataValidation>
    <dataValidation type="list" allowBlank="1" showInputMessage="1" showErrorMessage="1" sqref="I25:M25" xr:uid="{00000000-0002-0000-0200-000008000000}">
      <formula1>Lighting</formula1>
    </dataValidation>
    <dataValidation type="list" allowBlank="1" showInputMessage="1" showErrorMessage="1" errorTitle="Invalid" sqref="I26:M26" xr:uid="{00000000-0002-0000-0200-000009000000}">
      <formula1>SpEnforce</formula1>
    </dataValidation>
    <dataValidation type="decimal" operator="greaterThan" allowBlank="1" showInputMessage="1" showErrorMessage="1" sqref="I9:M9" xr:uid="{00000000-0002-0000-0200-00000B000000}">
      <formula1>0</formula1>
    </dataValidation>
    <dataValidation type="whole" operator="greaterThan" allowBlank="1" showInputMessage="1" showErrorMessage="1" sqref="J7:M7" xr:uid="{00000000-0002-0000-0200-00000C000000}">
      <formula1>1990</formula1>
    </dataValidation>
    <dataValidation type="decimal" operator="greaterThanOrEqual" allowBlank="1" showInputMessage="1" showErrorMessage="1" sqref="I15:M16 I19:M20" xr:uid="{00000000-0002-0000-0200-00000D000000}">
      <formula1>0</formula1>
    </dataValidation>
    <dataValidation type="decimal" allowBlank="1" showInputMessage="1" showErrorMessage="1" sqref="I27:M27" xr:uid="{45FE4F88-5CBD-4262-8325-92F72F66D8EA}">
      <formula1>0</formula1>
      <formula2>10</formula2>
    </dataValidation>
    <dataValidation type="list" allowBlank="1" showInputMessage="1" showErrorMessage="1" promptTitle="SPF based on 17,800 vpd maximum" sqref="I11:M11" xr:uid="{00000000-0002-0000-0200-000010000000}">
      <formula1>District</formula1>
    </dataValidation>
    <dataValidation type="whole" operator="greaterThanOrEqual" allowBlank="1" showInputMessage="1" showErrorMessage="1" promptTitle="SPF based on 17,800 vpd maximum" sqref="I10:M10" xr:uid="{08351D9F-E3FA-4ADD-89B2-AA0804494F3C}">
      <formula1>0</formula1>
    </dataValidation>
  </dataValidations>
  <hyperlinks>
    <hyperlink ref="D24:F24" r:id="rId1" display="RHR described in Appendix D (p. 195/200)" xr:uid="{BFB1960F-176B-4A9B-8B98-76A90B2FF6AD}"/>
    <hyperlink ref="C10" r:id="rId2" xr:uid="{E01FDF58-F096-4629-BC8C-B1D16E45AA8A}"/>
  </hyperlinks>
  <pageMargins left="0.7" right="0.7" top="0.75" bottom="0.75" header="0.3" footer="0.3"/>
  <pageSetup orientation="portrait"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B50"/>
  <sheetViews>
    <sheetView workbookViewId="0"/>
  </sheetViews>
  <sheetFormatPr defaultRowHeight="13.2"/>
  <cols>
    <col min="2" max="11" width="13.6640625" customWidth="1"/>
    <col min="12" max="17" width="15.6640625" customWidth="1"/>
    <col min="19" max="28" width="13.6640625" customWidth="1"/>
  </cols>
  <sheetData>
    <row r="2" spans="2:28">
      <c r="B2" s="88" t="s">
        <v>357</v>
      </c>
      <c r="S2" s="88" t="s">
        <v>358</v>
      </c>
    </row>
    <row r="4" spans="2:28" ht="13.8" thickBot="1">
      <c r="B4" s="17"/>
      <c r="E4" s="1"/>
      <c r="K4" s="18"/>
    </row>
    <row r="5" spans="2:28" ht="13.8" customHeight="1" thickTop="1">
      <c r="B5" s="444" t="s">
        <v>391</v>
      </c>
      <c r="C5" s="444"/>
      <c r="D5" s="444"/>
      <c r="E5" s="444"/>
      <c r="F5" s="444"/>
      <c r="G5" s="444"/>
      <c r="H5" s="444"/>
      <c r="I5" s="444"/>
      <c r="J5" s="444"/>
      <c r="K5" s="18"/>
      <c r="L5" s="444" t="s">
        <v>456</v>
      </c>
      <c r="M5" s="444"/>
      <c r="N5" s="444"/>
      <c r="O5" s="444"/>
      <c r="P5" s="444"/>
      <c r="Q5" s="444"/>
      <c r="S5" s="262" t="s">
        <v>400</v>
      </c>
      <c r="T5" s="262"/>
      <c r="U5" s="262"/>
      <c r="V5" s="262"/>
      <c r="W5" s="262"/>
      <c r="X5" s="262"/>
      <c r="Y5" s="262"/>
      <c r="Z5" s="262"/>
      <c r="AA5" s="262"/>
      <c r="AB5" s="262"/>
    </row>
    <row r="6" spans="2:28" ht="13.8" thickBot="1">
      <c r="B6" s="263"/>
      <c r="C6" s="263"/>
      <c r="D6" s="263"/>
      <c r="E6" s="263"/>
      <c r="F6" s="263"/>
      <c r="G6" s="263"/>
      <c r="H6" s="263"/>
      <c r="I6" s="263"/>
      <c r="J6" s="263"/>
      <c r="K6" s="18"/>
      <c r="L6" s="263"/>
      <c r="M6" s="263"/>
      <c r="N6" s="263"/>
      <c r="O6" s="263"/>
      <c r="P6" s="263"/>
      <c r="Q6" s="263"/>
      <c r="S6" s="263"/>
      <c r="T6" s="263"/>
      <c r="U6" s="263"/>
      <c r="V6" s="263"/>
      <c r="W6" s="263"/>
      <c r="X6" s="263"/>
      <c r="Y6" s="263"/>
      <c r="Z6" s="263"/>
      <c r="AA6" s="263"/>
      <c r="AB6" s="263"/>
    </row>
    <row r="7" spans="2:28" ht="13.8" thickBot="1">
      <c r="B7" s="438" t="s">
        <v>117</v>
      </c>
      <c r="C7" s="508"/>
      <c r="D7" s="508"/>
      <c r="E7" s="501" t="s">
        <v>141</v>
      </c>
      <c r="F7" s="501"/>
      <c r="G7" s="501"/>
      <c r="H7" s="501"/>
      <c r="I7" s="501"/>
      <c r="J7" s="502"/>
      <c r="L7" s="510" t="s">
        <v>195</v>
      </c>
      <c r="M7" s="386"/>
      <c r="N7" s="235" t="s">
        <v>193</v>
      </c>
      <c r="O7" s="511"/>
      <c r="P7" s="386"/>
      <c r="Q7" s="386"/>
      <c r="S7" s="439" t="s">
        <v>127</v>
      </c>
      <c r="T7" s="268" t="s">
        <v>9</v>
      </c>
      <c r="U7" s="268"/>
      <c r="V7" s="268"/>
      <c r="W7" s="268"/>
      <c r="X7" s="268"/>
      <c r="Y7" s="268"/>
      <c r="Z7" s="268"/>
      <c r="AA7" s="268"/>
      <c r="AB7" s="269"/>
    </row>
    <row r="8" spans="2:28" ht="13.8" thickBot="1">
      <c r="B8" s="512" t="s">
        <v>195</v>
      </c>
      <c r="C8" s="260"/>
      <c r="D8" s="236" t="s">
        <v>193</v>
      </c>
      <c r="E8" s="513" t="s">
        <v>142</v>
      </c>
      <c r="F8" s="513"/>
      <c r="G8" s="513"/>
      <c r="H8" s="459" t="s">
        <v>445</v>
      </c>
      <c r="I8" s="459"/>
      <c r="J8" s="301"/>
      <c r="L8" s="509" t="s">
        <v>142</v>
      </c>
      <c r="M8" s="509"/>
      <c r="N8" s="509"/>
      <c r="O8" s="509" t="s">
        <v>445</v>
      </c>
      <c r="P8" s="509"/>
      <c r="Q8" s="509"/>
      <c r="S8" s="440"/>
      <c r="T8" s="22">
        <v>0</v>
      </c>
      <c r="U8" s="22">
        <v>1</v>
      </c>
      <c r="V8" s="22">
        <v>2</v>
      </c>
      <c r="W8" s="22">
        <v>3</v>
      </c>
      <c r="X8" s="22">
        <v>4</v>
      </c>
      <c r="Y8" s="22">
        <v>5</v>
      </c>
      <c r="Z8" s="22">
        <v>6</v>
      </c>
      <c r="AA8" s="22">
        <v>7</v>
      </c>
      <c r="AB8" s="38">
        <v>8</v>
      </c>
    </row>
    <row r="9" spans="2:28">
      <c r="B9" s="448" t="s">
        <v>134</v>
      </c>
      <c r="C9" s="449"/>
      <c r="D9" s="449"/>
      <c r="E9" s="505">
        <v>1.3</v>
      </c>
      <c r="F9" s="505"/>
      <c r="G9" s="505"/>
      <c r="H9" s="506">
        <v>3.6</v>
      </c>
      <c r="I9" s="506"/>
      <c r="J9" s="507"/>
      <c r="L9" s="153" t="s">
        <v>443</v>
      </c>
      <c r="M9" s="154" t="s">
        <v>444</v>
      </c>
      <c r="N9" s="154" t="s">
        <v>448</v>
      </c>
      <c r="O9" s="155" t="s">
        <v>443</v>
      </c>
      <c r="P9" s="154" t="s">
        <v>444</v>
      </c>
      <c r="Q9" s="154" t="s">
        <v>448</v>
      </c>
      <c r="S9" s="52" t="s">
        <v>156</v>
      </c>
      <c r="T9" s="39">
        <v>1</v>
      </c>
      <c r="U9" s="39">
        <v>1</v>
      </c>
      <c r="V9" s="39">
        <v>1</v>
      </c>
      <c r="W9" s="39">
        <v>1</v>
      </c>
      <c r="X9" s="39">
        <v>1</v>
      </c>
      <c r="Y9" s="39">
        <f>+(X9+Z9)/2</f>
        <v>1</v>
      </c>
      <c r="Z9" s="39">
        <v>1</v>
      </c>
      <c r="AA9" s="39">
        <f>+(Z9+AB9)/2</f>
        <v>1</v>
      </c>
      <c r="AB9" s="40">
        <v>1</v>
      </c>
    </row>
    <row r="10" spans="2:28" ht="13.8" thickBot="1">
      <c r="B10" s="448" t="s">
        <v>135</v>
      </c>
      <c r="C10" s="449"/>
      <c r="D10" s="449"/>
      <c r="E10" s="497">
        <v>5.4</v>
      </c>
      <c r="F10" s="497"/>
      <c r="G10" s="497"/>
      <c r="H10" s="506">
        <v>6.1</v>
      </c>
      <c r="I10" s="506"/>
      <c r="J10" s="507"/>
      <c r="L10" s="148">
        <v>-0.312</v>
      </c>
      <c r="M10" s="149">
        <v>1</v>
      </c>
      <c r="N10" s="149">
        <v>0.23599999999999999</v>
      </c>
      <c r="O10" s="221">
        <v>-7.0250000000000004</v>
      </c>
      <c r="P10" s="222">
        <v>0.82099999999999995</v>
      </c>
      <c r="Q10" s="222">
        <v>0.247</v>
      </c>
      <c r="S10" s="52" t="s">
        <v>157</v>
      </c>
      <c r="T10" s="39">
        <v>1</v>
      </c>
      <c r="U10" s="39">
        <v>1</v>
      </c>
      <c r="V10" s="39">
        <v>1.01</v>
      </c>
      <c r="W10" s="39">
        <v>1.01</v>
      </c>
      <c r="X10" s="39">
        <v>1.01</v>
      </c>
      <c r="Y10" s="39">
        <f>+(X10+Z10)/2</f>
        <v>1.0150000000000001</v>
      </c>
      <c r="Z10" s="39">
        <v>1.02</v>
      </c>
      <c r="AA10" s="39">
        <f>+(Z10+AB10)/2</f>
        <v>1.02</v>
      </c>
      <c r="AB10" s="40">
        <v>1.02</v>
      </c>
    </row>
    <row r="11" spans="2:28">
      <c r="B11" s="448" t="s">
        <v>136</v>
      </c>
      <c r="C11" s="449"/>
      <c r="D11" s="449"/>
      <c r="E11" s="497">
        <v>10.9</v>
      </c>
      <c r="F11" s="497"/>
      <c r="G11" s="497"/>
      <c r="H11" s="506">
        <v>11.3</v>
      </c>
      <c r="I11" s="506"/>
      <c r="J11" s="507"/>
      <c r="S11" s="52" t="s">
        <v>158</v>
      </c>
      <c r="T11" s="39">
        <v>1</v>
      </c>
      <c r="U11" s="39">
        <v>1.01</v>
      </c>
      <c r="V11" s="39">
        <v>1.02</v>
      </c>
      <c r="W11" s="39">
        <v>1.02</v>
      </c>
      <c r="X11" s="39">
        <v>1.03</v>
      </c>
      <c r="Y11" s="39">
        <f>+(X11+Z11)/2</f>
        <v>1.0350000000000001</v>
      </c>
      <c r="Z11" s="39">
        <v>1.04</v>
      </c>
      <c r="AA11" s="39">
        <f>+(Z11+AB11)/2</f>
        <v>1.05</v>
      </c>
      <c r="AB11" s="40">
        <v>1.06</v>
      </c>
    </row>
    <row r="12" spans="2:28" ht="13.8" thickBot="1">
      <c r="B12" s="452" t="s">
        <v>137</v>
      </c>
      <c r="C12" s="453"/>
      <c r="D12" s="453"/>
      <c r="E12" s="451">
        <v>14.5</v>
      </c>
      <c r="F12" s="451"/>
      <c r="G12" s="451"/>
      <c r="H12" s="503">
        <v>13.4</v>
      </c>
      <c r="I12" s="503"/>
      <c r="J12" s="504"/>
      <c r="S12" s="54" t="s">
        <v>159</v>
      </c>
      <c r="T12" s="41">
        <v>1</v>
      </c>
      <c r="U12" s="41">
        <v>1.01</v>
      </c>
      <c r="V12" s="41">
        <v>1.03</v>
      </c>
      <c r="W12" s="41">
        <v>1.04</v>
      </c>
      <c r="X12" s="41">
        <v>1.05</v>
      </c>
      <c r="Y12" s="39">
        <f>+(X12+Z12)/2</f>
        <v>1.0649999999999999</v>
      </c>
      <c r="Z12" s="41">
        <v>1.08</v>
      </c>
      <c r="AA12" s="39">
        <f>+(Z12+AB12)/2</f>
        <v>1.0950000000000002</v>
      </c>
      <c r="AB12" s="42">
        <v>1.1100000000000001</v>
      </c>
    </row>
    <row r="13" spans="2:28" ht="14.4" thickTop="1" thickBot="1">
      <c r="B13" s="454" t="s">
        <v>138</v>
      </c>
      <c r="C13" s="455"/>
      <c r="D13" s="455"/>
      <c r="E13" s="450">
        <f>SUM(E9:E12)</f>
        <v>32.1</v>
      </c>
      <c r="F13" s="450"/>
      <c r="G13" s="450"/>
      <c r="H13" s="450">
        <f>SUM(H9:H12)</f>
        <v>34.4</v>
      </c>
      <c r="I13" s="450"/>
      <c r="J13" s="498"/>
      <c r="N13" s="457" t="s">
        <v>475</v>
      </c>
      <c r="O13" s="457"/>
      <c r="S13" s="441" t="s">
        <v>191</v>
      </c>
      <c r="T13" s="442"/>
      <c r="U13" s="442"/>
      <c r="V13" s="442"/>
      <c r="W13" s="442"/>
      <c r="X13" s="442"/>
      <c r="Y13" s="442"/>
      <c r="Z13" s="442"/>
      <c r="AA13" s="442"/>
      <c r="AB13" s="442"/>
    </row>
    <row r="14" spans="2:28" ht="13.8" thickBot="1">
      <c r="B14" s="452" t="s">
        <v>139</v>
      </c>
      <c r="C14" s="453"/>
      <c r="D14" s="453"/>
      <c r="E14" s="451">
        <f>100-E13</f>
        <v>67.900000000000006</v>
      </c>
      <c r="F14" s="451"/>
      <c r="G14" s="451"/>
      <c r="H14" s="451">
        <f>100-H13</f>
        <v>65.599999999999994</v>
      </c>
      <c r="I14" s="451"/>
      <c r="J14" s="499"/>
      <c r="N14" s="157" t="s">
        <v>451</v>
      </c>
      <c r="O14" s="158" t="s">
        <v>476</v>
      </c>
      <c r="S14" s="443"/>
      <c r="T14" s="443"/>
      <c r="U14" s="443"/>
      <c r="V14" s="443"/>
      <c r="W14" s="443"/>
      <c r="X14" s="443"/>
      <c r="Y14" s="443"/>
      <c r="Z14" s="443"/>
      <c r="AA14" s="443"/>
      <c r="AB14" s="443"/>
    </row>
    <row r="15" spans="2:28" ht="14.4" thickTop="1" thickBot="1">
      <c r="B15" s="445" t="s">
        <v>140</v>
      </c>
      <c r="C15" s="446"/>
      <c r="D15" s="446"/>
      <c r="E15" s="447">
        <f>SUM(E13:E14)</f>
        <v>100</v>
      </c>
      <c r="F15" s="447"/>
      <c r="G15" s="447"/>
      <c r="H15" s="447">
        <f>SUM(H13:H14)</f>
        <v>100</v>
      </c>
      <c r="I15" s="447"/>
      <c r="J15" s="500"/>
      <c r="N15" s="51" t="s">
        <v>477</v>
      </c>
      <c r="O15" s="58">
        <v>1</v>
      </c>
    </row>
    <row r="16" spans="2:28">
      <c r="B16" s="138" t="s">
        <v>394</v>
      </c>
      <c r="C16" s="19"/>
      <c r="D16" s="19"/>
      <c r="E16" s="19"/>
      <c r="F16" s="19"/>
      <c r="N16" s="51" t="s">
        <v>452</v>
      </c>
      <c r="O16" s="219">
        <v>1.0104047713268132</v>
      </c>
    </row>
    <row r="17" spans="2:17" ht="13.8" thickBot="1">
      <c r="B17" s="19"/>
      <c r="C17" s="19"/>
      <c r="D17" s="19"/>
      <c r="E17" s="19"/>
      <c r="F17" s="19"/>
      <c r="N17" s="51" t="s">
        <v>453</v>
      </c>
      <c r="O17" s="219">
        <v>1.1524526158953687</v>
      </c>
    </row>
    <row r="18" spans="2:17" ht="13.8" thickTop="1">
      <c r="B18" s="488" t="s">
        <v>392</v>
      </c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N18" s="51" t="s">
        <v>454</v>
      </c>
      <c r="O18" s="219">
        <v>0.72997726745352209</v>
      </c>
    </row>
    <row r="19" spans="2:17" ht="13.8" thickBot="1"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N19" s="151" t="s">
        <v>455</v>
      </c>
      <c r="O19" s="220">
        <v>1.0012998527572392</v>
      </c>
    </row>
    <row r="20" spans="2:17">
      <c r="B20" s="19"/>
      <c r="C20" s="19"/>
      <c r="D20" s="19"/>
      <c r="E20" s="491" t="s">
        <v>151</v>
      </c>
      <c r="F20" s="491"/>
      <c r="G20" s="491"/>
      <c r="H20" s="491"/>
      <c r="I20" s="491"/>
      <c r="J20" s="491"/>
      <c r="K20" s="491"/>
      <c r="L20" s="491"/>
    </row>
    <row r="21" spans="2:17" ht="13.8" thickBot="1">
      <c r="B21" s="435" t="s">
        <v>144</v>
      </c>
      <c r="C21" s="435"/>
      <c r="D21" s="436"/>
      <c r="E21" s="495" t="s">
        <v>142</v>
      </c>
      <c r="F21" s="300"/>
      <c r="G21" s="300"/>
      <c r="H21" s="496"/>
      <c r="I21" s="495" t="s">
        <v>445</v>
      </c>
      <c r="J21" s="300"/>
      <c r="K21" s="300"/>
      <c r="L21" s="300"/>
    </row>
    <row r="22" spans="2:17" ht="14.4" thickTop="1" thickBot="1">
      <c r="B22" s="437"/>
      <c r="C22" s="437"/>
      <c r="D22" s="438"/>
      <c r="E22" s="461" t="s">
        <v>150</v>
      </c>
      <c r="F22" s="492" t="s">
        <v>152</v>
      </c>
      <c r="G22" s="492" t="s">
        <v>153</v>
      </c>
      <c r="H22" s="493"/>
      <c r="I22" s="492" t="s">
        <v>150</v>
      </c>
      <c r="J22" s="492" t="s">
        <v>152</v>
      </c>
      <c r="K22" s="492" t="s">
        <v>153</v>
      </c>
      <c r="L22" s="494"/>
      <c r="P22" s="457" t="s">
        <v>490</v>
      </c>
      <c r="Q22" s="457"/>
    </row>
    <row r="23" spans="2:17">
      <c r="B23" s="460" t="s">
        <v>195</v>
      </c>
      <c r="C23" s="283"/>
      <c r="D23" s="237" t="s">
        <v>193</v>
      </c>
      <c r="E23" s="461"/>
      <c r="F23" s="492"/>
      <c r="G23" s="494"/>
      <c r="H23" s="493"/>
      <c r="I23" s="492"/>
      <c r="J23" s="492"/>
      <c r="K23" s="494"/>
      <c r="L23" s="494"/>
      <c r="P23" s="158" t="s">
        <v>491</v>
      </c>
      <c r="Q23" s="154" t="s">
        <v>451</v>
      </c>
    </row>
    <row r="24" spans="2:17">
      <c r="B24" s="25" t="s">
        <v>145</v>
      </c>
      <c r="C24" s="26"/>
      <c r="D24" s="26"/>
      <c r="E24" s="27"/>
      <c r="F24" s="26"/>
      <c r="G24" s="485"/>
      <c r="H24" s="486"/>
      <c r="I24" s="26"/>
      <c r="J24" s="26"/>
      <c r="K24" s="284"/>
      <c r="L24" s="284"/>
      <c r="P24" s="51" t="s">
        <v>477</v>
      </c>
      <c r="Q24" s="168" t="s">
        <v>477</v>
      </c>
    </row>
    <row r="25" spans="2:17">
      <c r="B25" s="19" t="s">
        <v>103</v>
      </c>
      <c r="E25" s="28">
        <v>3.8</v>
      </c>
      <c r="F25" s="1">
        <v>18.399999999999999</v>
      </c>
      <c r="G25" s="478">
        <v>12.1</v>
      </c>
      <c r="H25" s="479"/>
      <c r="I25" s="217">
        <v>3.5</v>
      </c>
      <c r="J25" s="217">
        <v>15.4</v>
      </c>
      <c r="K25" s="456">
        <v>11.3</v>
      </c>
      <c r="L25" s="456"/>
      <c r="P25" s="51" t="s">
        <v>492</v>
      </c>
      <c r="Q25" s="167" t="s">
        <v>455</v>
      </c>
    </row>
    <row r="26" spans="2:17">
      <c r="B26" s="19" t="s">
        <v>104</v>
      </c>
      <c r="E26" s="28">
        <v>0.4</v>
      </c>
      <c r="F26" s="1">
        <v>0.1</v>
      </c>
      <c r="G26" s="478">
        <v>0.2</v>
      </c>
      <c r="H26" s="479"/>
      <c r="I26" s="217">
        <v>0</v>
      </c>
      <c r="J26" s="217">
        <v>0.6</v>
      </c>
      <c r="K26" s="456">
        <v>0.4</v>
      </c>
      <c r="L26" s="456"/>
      <c r="P26" t="s">
        <v>493</v>
      </c>
      <c r="Q26" s="167" t="s">
        <v>455</v>
      </c>
    </row>
    <row r="27" spans="2:17">
      <c r="B27" s="19" t="s">
        <v>105</v>
      </c>
      <c r="E27" s="28">
        <v>0.7</v>
      </c>
      <c r="F27" s="1">
        <v>0.1</v>
      </c>
      <c r="G27" s="478">
        <v>0.3</v>
      </c>
      <c r="H27" s="479"/>
      <c r="I27" s="217">
        <v>0</v>
      </c>
      <c r="J27" s="217">
        <v>0</v>
      </c>
      <c r="K27" s="456">
        <v>0</v>
      </c>
      <c r="L27" s="456"/>
      <c r="P27" t="s">
        <v>494</v>
      </c>
      <c r="Q27" s="167" t="s">
        <v>453</v>
      </c>
    </row>
    <row r="28" spans="2:17">
      <c r="B28" s="19" t="s">
        <v>106</v>
      </c>
      <c r="E28" s="28">
        <v>3.7</v>
      </c>
      <c r="F28" s="1">
        <v>1.5</v>
      </c>
      <c r="G28" s="478">
        <v>2.5</v>
      </c>
      <c r="H28" s="479"/>
      <c r="I28" s="217">
        <v>0</v>
      </c>
      <c r="J28" s="217">
        <v>0</v>
      </c>
      <c r="K28" s="456">
        <v>0</v>
      </c>
      <c r="L28" s="456"/>
      <c r="P28" t="s">
        <v>495</v>
      </c>
      <c r="Q28" s="167" t="s">
        <v>454</v>
      </c>
    </row>
    <row r="29" spans="2:17">
      <c r="B29" s="19" t="s">
        <v>107</v>
      </c>
      <c r="E29" s="28">
        <v>54.5</v>
      </c>
      <c r="F29" s="1">
        <v>50.5</v>
      </c>
      <c r="G29" s="478">
        <v>52.1</v>
      </c>
      <c r="H29" s="479"/>
      <c r="I29" s="217">
        <v>63.5</v>
      </c>
      <c r="J29" s="217">
        <v>47.5</v>
      </c>
      <c r="K29" s="456">
        <v>53</v>
      </c>
      <c r="L29" s="456"/>
      <c r="P29" t="s">
        <v>496</v>
      </c>
      <c r="Q29" s="167" t="s">
        <v>452</v>
      </c>
    </row>
    <row r="30" spans="2:17">
      <c r="B30" s="19" t="s">
        <v>146</v>
      </c>
      <c r="E30" s="28">
        <v>0.7</v>
      </c>
      <c r="F30" s="1">
        <v>2.9</v>
      </c>
      <c r="G30" s="478">
        <v>2.1</v>
      </c>
      <c r="H30" s="479"/>
      <c r="I30" s="217">
        <v>7.1</v>
      </c>
      <c r="J30" s="217">
        <v>6.2</v>
      </c>
      <c r="K30" s="456">
        <v>6.5</v>
      </c>
      <c r="L30" s="456"/>
      <c r="P30" t="s">
        <v>497</v>
      </c>
      <c r="Q30" s="167" t="s">
        <v>453</v>
      </c>
    </row>
    <row r="31" spans="2:17">
      <c r="B31" s="139" t="s">
        <v>109</v>
      </c>
      <c r="C31" s="49"/>
      <c r="D31" s="49"/>
      <c r="E31" s="131">
        <f>SUM(E25:E30)</f>
        <v>63.800000000000004</v>
      </c>
      <c r="F31" s="132">
        <f>SUM(F25:F30)</f>
        <v>73.5</v>
      </c>
      <c r="G31" s="260">
        <f>SUM(G25:H30)</f>
        <v>69.3</v>
      </c>
      <c r="H31" s="255"/>
      <c r="I31" s="133">
        <f>SUM(I25:I30)</f>
        <v>74.099999999999994</v>
      </c>
      <c r="J31" s="134">
        <f>SUM(J25:J30)</f>
        <v>69.7</v>
      </c>
      <c r="K31" s="426">
        <f>SUM(K25:L30)</f>
        <v>71.2</v>
      </c>
      <c r="L31" s="426"/>
      <c r="P31" t="s">
        <v>498</v>
      </c>
      <c r="Q31" s="167" t="s">
        <v>452</v>
      </c>
    </row>
    <row r="32" spans="2:17">
      <c r="B32" s="21" t="s">
        <v>147</v>
      </c>
      <c r="E32" s="28"/>
      <c r="F32" s="1"/>
      <c r="G32" s="485"/>
      <c r="H32" s="486"/>
      <c r="I32" s="14"/>
      <c r="J32" s="14"/>
      <c r="K32" s="480"/>
      <c r="L32" s="480"/>
      <c r="P32" t="s">
        <v>499</v>
      </c>
      <c r="Q32" s="167" t="s">
        <v>455</v>
      </c>
    </row>
    <row r="33" spans="2:17">
      <c r="B33" s="19" t="s">
        <v>111</v>
      </c>
      <c r="E33" s="47">
        <v>10</v>
      </c>
      <c r="F33" s="1">
        <v>7.2</v>
      </c>
      <c r="G33" s="478">
        <v>8.5</v>
      </c>
      <c r="H33" s="479"/>
      <c r="I33" s="217">
        <v>3.5</v>
      </c>
      <c r="J33" s="217">
        <v>2.5</v>
      </c>
      <c r="K33" s="456">
        <v>2.8</v>
      </c>
      <c r="L33" s="456"/>
      <c r="P33" t="s">
        <v>500</v>
      </c>
      <c r="Q33" s="167" t="s">
        <v>454</v>
      </c>
    </row>
    <row r="34" spans="2:17">
      <c r="B34" s="19" t="s">
        <v>112</v>
      </c>
      <c r="E34" s="28">
        <v>3.4</v>
      </c>
      <c r="F34" s="1">
        <v>0.3</v>
      </c>
      <c r="G34" s="478">
        <v>1.6</v>
      </c>
      <c r="H34" s="479"/>
      <c r="I34" s="217">
        <v>3.5</v>
      </c>
      <c r="J34" s="217">
        <v>4.9000000000000004</v>
      </c>
      <c r="K34" s="456">
        <v>4.5</v>
      </c>
      <c r="L34" s="456"/>
      <c r="P34" t="s">
        <v>501</v>
      </c>
      <c r="Q34" s="167" t="s">
        <v>453</v>
      </c>
    </row>
    <row r="35" spans="2:17">
      <c r="B35" s="19" t="s">
        <v>113</v>
      </c>
      <c r="E35" s="28">
        <v>16.399999999999999</v>
      </c>
      <c r="F35" s="1">
        <v>12.2</v>
      </c>
      <c r="G35" s="478">
        <v>14.2</v>
      </c>
      <c r="H35" s="479"/>
      <c r="I35" s="217">
        <v>7.1</v>
      </c>
      <c r="J35" s="217">
        <v>4.9000000000000004</v>
      </c>
      <c r="K35" s="456">
        <v>5.7</v>
      </c>
      <c r="L35" s="456"/>
      <c r="P35" t="s">
        <v>502</v>
      </c>
      <c r="Q35" s="167" t="s">
        <v>455</v>
      </c>
    </row>
    <row r="36" spans="2:17">
      <c r="B36" s="19" t="s">
        <v>114</v>
      </c>
      <c r="E36" s="28">
        <v>3.8</v>
      </c>
      <c r="F36" s="1">
        <v>3.8</v>
      </c>
      <c r="G36" s="478">
        <v>3.7</v>
      </c>
      <c r="H36" s="479"/>
      <c r="I36" s="217">
        <v>1.2</v>
      </c>
      <c r="J36" s="217">
        <v>2.5</v>
      </c>
      <c r="K36" s="456">
        <v>2</v>
      </c>
      <c r="L36" s="456"/>
      <c r="P36" t="s">
        <v>503</v>
      </c>
      <c r="Q36" s="167" t="s">
        <v>453</v>
      </c>
    </row>
    <row r="37" spans="2:17">
      <c r="B37" s="19" t="s">
        <v>115</v>
      </c>
      <c r="E37" s="28">
        <v>2.6</v>
      </c>
      <c r="F37" s="14">
        <v>3</v>
      </c>
      <c r="G37" s="478">
        <v>2.7</v>
      </c>
      <c r="H37" s="479"/>
      <c r="I37" s="217">
        <v>10.6</v>
      </c>
      <c r="J37" s="217">
        <v>15.4</v>
      </c>
      <c r="K37" s="456">
        <v>13.8</v>
      </c>
      <c r="L37" s="456"/>
      <c r="P37" s="169" t="s">
        <v>504</v>
      </c>
      <c r="Q37" s="170" t="s">
        <v>452</v>
      </c>
    </row>
    <row r="38" spans="2:17">
      <c r="B38" s="139" t="s">
        <v>148</v>
      </c>
      <c r="C38" s="49"/>
      <c r="D38" s="49"/>
      <c r="E38" s="131">
        <f>SUM(E33:E37)</f>
        <v>36.199999999999996</v>
      </c>
      <c r="F38" s="132">
        <f>SUM(F33:F37)</f>
        <v>26.5</v>
      </c>
      <c r="G38" s="254">
        <f>SUM(G33:H37)</f>
        <v>30.699999999999996</v>
      </c>
      <c r="H38" s="255"/>
      <c r="I38" s="133">
        <f>SUM(I33:I37)</f>
        <v>25.9</v>
      </c>
      <c r="J38" s="134">
        <f>SUM(J33:J37)</f>
        <v>30.200000000000003</v>
      </c>
      <c r="K38" s="490">
        <f>SUM(K33:L37)</f>
        <v>28.8</v>
      </c>
      <c r="L38" s="426"/>
      <c r="P38" t="s">
        <v>505</v>
      </c>
      <c r="Q38" s="167" t="s">
        <v>454</v>
      </c>
    </row>
    <row r="39" spans="2:17" ht="13.8" thickBot="1">
      <c r="B39" s="23" t="s">
        <v>149</v>
      </c>
      <c r="C39" s="24"/>
      <c r="D39" s="24"/>
      <c r="E39" s="29">
        <f>+E31+E38</f>
        <v>100</v>
      </c>
      <c r="F39" s="30">
        <f>+F31+F38</f>
        <v>100</v>
      </c>
      <c r="G39" s="419">
        <v>100</v>
      </c>
      <c r="H39" s="484"/>
      <c r="I39" s="29">
        <f>+I31+I38</f>
        <v>100</v>
      </c>
      <c r="J39" s="30">
        <f>+J31+J38</f>
        <v>99.9</v>
      </c>
      <c r="K39" s="419">
        <v>100</v>
      </c>
      <c r="L39" s="419"/>
      <c r="P39" t="s">
        <v>506</v>
      </c>
      <c r="Q39" s="167" t="s">
        <v>455</v>
      </c>
    </row>
    <row r="40" spans="2:17">
      <c r="B40" s="86" t="s">
        <v>393</v>
      </c>
      <c r="P40" t="s">
        <v>507</v>
      </c>
      <c r="Q40" s="167" t="s">
        <v>452</v>
      </c>
    </row>
    <row r="41" spans="2:17">
      <c r="P41" t="s">
        <v>508</v>
      </c>
      <c r="Q41" s="167" t="s">
        <v>455</v>
      </c>
    </row>
    <row r="42" spans="2:17" ht="13.8" thickBot="1">
      <c r="P42" t="s">
        <v>509</v>
      </c>
      <c r="Q42" s="167" t="s">
        <v>453</v>
      </c>
    </row>
    <row r="43" spans="2:17" ht="14.4" thickTop="1" thickBot="1">
      <c r="B43" s="457" t="s">
        <v>403</v>
      </c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15"/>
      <c r="P43" t="s">
        <v>510</v>
      </c>
      <c r="Q43" s="167" t="s">
        <v>454</v>
      </c>
    </row>
    <row r="44" spans="2:17">
      <c r="B44" s="483" t="s">
        <v>190</v>
      </c>
      <c r="C44" s="268" t="s">
        <v>189</v>
      </c>
      <c r="D44" s="481"/>
      <c r="E44" s="481"/>
      <c r="F44" s="481"/>
      <c r="G44" s="481"/>
      <c r="H44" s="481"/>
      <c r="I44" s="268" t="s">
        <v>143</v>
      </c>
      <c r="J44" s="481"/>
      <c r="K44" s="481"/>
      <c r="L44" s="481"/>
      <c r="M44" s="481"/>
      <c r="N44" s="487"/>
      <c r="O44" s="1"/>
      <c r="P44" t="s">
        <v>511</v>
      </c>
      <c r="Q44" s="167" t="s">
        <v>455</v>
      </c>
    </row>
    <row r="45" spans="2:17">
      <c r="B45" s="271"/>
      <c r="C45" s="460" t="s">
        <v>195</v>
      </c>
      <c r="D45" s="283"/>
      <c r="E45" s="238" t="s">
        <v>194</v>
      </c>
      <c r="F45" s="471" t="s">
        <v>188</v>
      </c>
      <c r="G45" s="284"/>
      <c r="H45" s="285"/>
      <c r="I45" s="466" t="s">
        <v>187</v>
      </c>
      <c r="J45" s="466"/>
      <c r="K45" s="466"/>
      <c r="L45" s="466" t="s">
        <v>188</v>
      </c>
      <c r="M45" s="466"/>
      <c r="N45" s="482"/>
      <c r="O45" s="129"/>
      <c r="P45" t="s">
        <v>512</v>
      </c>
      <c r="Q45" s="167" t="s">
        <v>454</v>
      </c>
    </row>
    <row r="46" spans="2:17">
      <c r="B46" s="271"/>
      <c r="C46" s="461" t="s">
        <v>187</v>
      </c>
      <c r="D46" s="443"/>
      <c r="E46" s="462"/>
      <c r="F46" s="275"/>
      <c r="G46" s="270"/>
      <c r="H46" s="271"/>
      <c r="I46" s="466"/>
      <c r="J46" s="466"/>
      <c r="K46" s="466"/>
      <c r="L46" s="466"/>
      <c r="M46" s="466"/>
      <c r="N46" s="482"/>
      <c r="O46" s="129"/>
      <c r="P46" t="s">
        <v>513</v>
      </c>
      <c r="Q46" s="167" t="s">
        <v>453</v>
      </c>
    </row>
    <row r="47" spans="2:17">
      <c r="B47" s="271"/>
      <c r="C47" s="463"/>
      <c r="D47" s="464"/>
      <c r="E47" s="465"/>
      <c r="F47" s="472"/>
      <c r="G47" s="323"/>
      <c r="H47" s="324"/>
      <c r="I47" s="466"/>
      <c r="J47" s="466"/>
      <c r="K47" s="466"/>
      <c r="L47" s="466"/>
      <c r="M47" s="466"/>
      <c r="N47" s="482"/>
      <c r="O47" s="129"/>
      <c r="P47" t="s">
        <v>514</v>
      </c>
      <c r="Q47" s="167" t="s">
        <v>453</v>
      </c>
    </row>
    <row r="48" spans="2:17" ht="15.6">
      <c r="B48" s="324"/>
      <c r="C48" s="459" t="s">
        <v>184</v>
      </c>
      <c r="D48" s="459"/>
      <c r="E48" s="22" t="s">
        <v>185</v>
      </c>
      <c r="F48" s="459" t="s">
        <v>186</v>
      </c>
      <c r="G48" s="267"/>
      <c r="H48" s="473"/>
      <c r="I48" s="459" t="s">
        <v>184</v>
      </c>
      <c r="J48" s="459"/>
      <c r="K48" s="22" t="s">
        <v>185</v>
      </c>
      <c r="L48" s="459" t="s">
        <v>186</v>
      </c>
      <c r="M48" s="267"/>
      <c r="N48" s="477"/>
      <c r="P48" t="s">
        <v>515</v>
      </c>
      <c r="Q48" s="167" t="s">
        <v>453</v>
      </c>
    </row>
    <row r="49" spans="2:17" ht="13.8" thickBot="1">
      <c r="B49" s="50" t="s">
        <v>183</v>
      </c>
      <c r="C49" s="458">
        <v>0.38200000000000001</v>
      </c>
      <c r="D49" s="458"/>
      <c r="E49" s="3">
        <v>0.61799999999999999</v>
      </c>
      <c r="F49" s="474">
        <v>0.37</v>
      </c>
      <c r="G49" s="475"/>
      <c r="H49" s="476"/>
      <c r="I49" s="467"/>
      <c r="J49" s="467"/>
      <c r="K49" s="218"/>
      <c r="L49" s="468"/>
      <c r="M49" s="469"/>
      <c r="N49" s="470"/>
      <c r="P49" s="171" t="s">
        <v>516</v>
      </c>
      <c r="Q49" s="166" t="s">
        <v>454</v>
      </c>
    </row>
    <row r="50" spans="2:17">
      <c r="B50" s="86" t="s">
        <v>402</v>
      </c>
    </row>
  </sheetData>
  <sheetProtection sheet="1" objects="1" scenarios="1"/>
  <mergeCells count="99">
    <mergeCell ref="O8:Q8"/>
    <mergeCell ref="L8:N8"/>
    <mergeCell ref="L7:M7"/>
    <mergeCell ref="O7:Q7"/>
    <mergeCell ref="B8:C8"/>
    <mergeCell ref="E8:G8"/>
    <mergeCell ref="B23:C23"/>
    <mergeCell ref="B5:J6"/>
    <mergeCell ref="E10:G10"/>
    <mergeCell ref="E11:G11"/>
    <mergeCell ref="H13:J13"/>
    <mergeCell ref="H14:J14"/>
    <mergeCell ref="H15:J15"/>
    <mergeCell ref="E7:J7"/>
    <mergeCell ref="H12:J12"/>
    <mergeCell ref="H8:J8"/>
    <mergeCell ref="E9:G9"/>
    <mergeCell ref="H9:J9"/>
    <mergeCell ref="E12:G12"/>
    <mergeCell ref="H10:J10"/>
    <mergeCell ref="H11:J11"/>
    <mergeCell ref="B7:D7"/>
    <mergeCell ref="G22:H23"/>
    <mergeCell ref="E21:H21"/>
    <mergeCell ref="I21:L21"/>
    <mergeCell ref="I22:I23"/>
    <mergeCell ref="J22:J23"/>
    <mergeCell ref="K22:L23"/>
    <mergeCell ref="G24:H24"/>
    <mergeCell ref="B18:L19"/>
    <mergeCell ref="E22:E23"/>
    <mergeCell ref="G38:H38"/>
    <mergeCell ref="G36:H36"/>
    <mergeCell ref="G37:H37"/>
    <mergeCell ref="K31:L31"/>
    <mergeCell ref="K25:L25"/>
    <mergeCell ref="K26:L26"/>
    <mergeCell ref="K27:L27"/>
    <mergeCell ref="K28:L28"/>
    <mergeCell ref="G29:H29"/>
    <mergeCell ref="G30:H30"/>
    <mergeCell ref="K38:L38"/>
    <mergeCell ref="E20:L20"/>
    <mergeCell ref="F22:F23"/>
    <mergeCell ref="K32:L32"/>
    <mergeCell ref="K33:L33"/>
    <mergeCell ref="C44:H44"/>
    <mergeCell ref="L45:N47"/>
    <mergeCell ref="B43:N43"/>
    <mergeCell ref="B44:B48"/>
    <mergeCell ref="G39:H39"/>
    <mergeCell ref="G32:H32"/>
    <mergeCell ref="G34:H34"/>
    <mergeCell ref="G35:H35"/>
    <mergeCell ref="I44:N44"/>
    <mergeCell ref="K34:L34"/>
    <mergeCell ref="K35:L35"/>
    <mergeCell ref="K36:L36"/>
    <mergeCell ref="K37:L37"/>
    <mergeCell ref="K39:L39"/>
    <mergeCell ref="G31:H31"/>
    <mergeCell ref="G33:H33"/>
    <mergeCell ref="G25:H25"/>
    <mergeCell ref="G26:H26"/>
    <mergeCell ref="G27:H27"/>
    <mergeCell ref="G28:H28"/>
    <mergeCell ref="L49:N49"/>
    <mergeCell ref="F45:H47"/>
    <mergeCell ref="F48:H48"/>
    <mergeCell ref="F49:H49"/>
    <mergeCell ref="L48:N48"/>
    <mergeCell ref="C49:D49"/>
    <mergeCell ref="C48:D48"/>
    <mergeCell ref="C45:D45"/>
    <mergeCell ref="C46:E47"/>
    <mergeCell ref="I45:K47"/>
    <mergeCell ref="I49:J49"/>
    <mergeCell ref="I48:J48"/>
    <mergeCell ref="K24:L24"/>
    <mergeCell ref="K29:L29"/>
    <mergeCell ref="K30:L30"/>
    <mergeCell ref="P22:Q22"/>
    <mergeCell ref="N13:O13"/>
    <mergeCell ref="B21:D22"/>
    <mergeCell ref="S5:AB6"/>
    <mergeCell ref="S7:S8"/>
    <mergeCell ref="T7:AB7"/>
    <mergeCell ref="S13:AB14"/>
    <mergeCell ref="L5:Q6"/>
    <mergeCell ref="B15:D15"/>
    <mergeCell ref="E15:G15"/>
    <mergeCell ref="B9:D9"/>
    <mergeCell ref="B10:D10"/>
    <mergeCell ref="B11:D11"/>
    <mergeCell ref="E13:G13"/>
    <mergeCell ref="E14:G14"/>
    <mergeCell ref="B12:D12"/>
    <mergeCell ref="B13:D13"/>
    <mergeCell ref="B14:D14"/>
  </mergeCells>
  <dataValidations count="1">
    <dataValidation type="list" allowBlank="1" showInputMessage="1" showErrorMessage="1" sqref="D8 E45 D23 N7" xr:uid="{00000000-0002-0000-0300-000000000000}">
      <formula1>Local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82"/>
  <sheetViews>
    <sheetView zoomScaleNormal="100" workbookViewId="0">
      <selection activeCell="D4" sqref="D4:F4"/>
    </sheetView>
  </sheetViews>
  <sheetFormatPr defaultRowHeight="13.2"/>
  <cols>
    <col min="1" max="1" width="14.33203125" customWidth="1"/>
    <col min="2" max="2" width="15.88671875" customWidth="1"/>
    <col min="3" max="3" width="14.33203125" customWidth="1"/>
    <col min="4" max="4" width="12" customWidth="1"/>
    <col min="5" max="5" width="13.6640625" customWidth="1"/>
    <col min="6" max="6" width="13.33203125" customWidth="1"/>
    <col min="7" max="7" width="10.88671875" customWidth="1"/>
    <col min="8" max="8" width="12.44140625" customWidth="1"/>
    <col min="9" max="9" width="18.44140625" customWidth="1"/>
    <col min="10" max="10" width="15.33203125" customWidth="1"/>
    <col min="11" max="11" width="15.5546875" customWidth="1"/>
    <col min="12" max="12" width="17.44140625" customWidth="1"/>
    <col min="13" max="13" width="14.5546875" customWidth="1"/>
    <col min="17" max="17" width="11" customWidth="1"/>
    <col min="18" max="18" width="12.44140625" customWidth="1"/>
    <col min="19" max="19" width="10.44140625" customWidth="1"/>
    <col min="20" max="20" width="10.6640625" customWidth="1"/>
    <col min="21" max="21" width="12.44140625" customWidth="1"/>
    <col min="22" max="22" width="10.44140625" customWidth="1"/>
    <col min="23" max="23" width="11.6640625" customWidth="1"/>
    <col min="24" max="24" width="10.44140625" customWidth="1"/>
    <col min="27" max="27" width="10.109375" customWidth="1"/>
  </cols>
  <sheetData>
    <row r="1" spans="1:36" ht="13.8" thickBot="1"/>
    <row r="2" spans="1:36" ht="14.25" customHeight="1" thickTop="1" thickBot="1">
      <c r="A2" s="279" t="s">
        <v>196</v>
      </c>
      <c r="B2" s="280"/>
      <c r="C2" s="280"/>
      <c r="D2" s="281"/>
      <c r="E2" s="281"/>
      <c r="F2" s="281"/>
      <c r="G2" s="281"/>
      <c r="H2" s="281"/>
      <c r="I2" s="281"/>
      <c r="J2" s="281"/>
      <c r="K2" s="281"/>
      <c r="L2" s="281"/>
      <c r="M2" s="281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ht="13.5" customHeight="1">
      <c r="A3" s="250" t="s">
        <v>1</v>
      </c>
      <c r="B3" s="270"/>
      <c r="C3" s="270"/>
      <c r="D3" s="270"/>
      <c r="E3" s="270"/>
      <c r="F3" s="271"/>
      <c r="G3" s="282" t="s">
        <v>19</v>
      </c>
      <c r="H3" s="283"/>
      <c r="I3" s="283"/>
      <c r="J3" s="283"/>
      <c r="K3" s="283"/>
      <c r="L3" s="283"/>
      <c r="M3" s="283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>
      <c r="A4" s="284" t="s">
        <v>2</v>
      </c>
      <c r="B4" s="284"/>
      <c r="C4" s="285"/>
      <c r="D4" s="286" t="s">
        <v>441</v>
      </c>
      <c r="E4" s="287"/>
      <c r="F4" s="288"/>
      <c r="G4" s="289" t="s">
        <v>20</v>
      </c>
      <c r="H4" s="284"/>
      <c r="I4" s="285"/>
      <c r="J4" s="286" t="s">
        <v>287</v>
      </c>
      <c r="K4" s="287"/>
      <c r="L4" s="287"/>
      <c r="M4" s="287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>
      <c r="A5" s="270" t="s">
        <v>3</v>
      </c>
      <c r="B5" s="270"/>
      <c r="C5" s="271"/>
      <c r="D5" s="272" t="s">
        <v>442</v>
      </c>
      <c r="E5" s="273"/>
      <c r="F5" s="274"/>
      <c r="G5" s="598" t="s">
        <v>197</v>
      </c>
      <c r="H5" s="270"/>
      <c r="I5" s="271"/>
      <c r="J5" s="272" t="s">
        <v>419</v>
      </c>
      <c r="K5" s="273"/>
      <c r="L5" s="273"/>
      <c r="M5" s="273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2.75" customHeight="1">
      <c r="A6" s="270" t="s">
        <v>4</v>
      </c>
      <c r="B6" s="270"/>
      <c r="C6" s="271"/>
      <c r="D6" s="276">
        <f ca="1">TODAY()</f>
        <v>45350</v>
      </c>
      <c r="E6" s="277"/>
      <c r="F6" s="278"/>
      <c r="G6" s="275" t="s">
        <v>22</v>
      </c>
      <c r="H6" s="270"/>
      <c r="I6" s="271"/>
      <c r="J6" s="272" t="s">
        <v>288</v>
      </c>
      <c r="K6" s="273"/>
      <c r="L6" s="273"/>
      <c r="M6" s="273"/>
      <c r="AA6" s="51"/>
      <c r="AB6" s="58"/>
      <c r="AC6" s="58"/>
      <c r="AD6" s="58"/>
      <c r="AE6" s="58"/>
      <c r="AF6" s="58"/>
      <c r="AG6" s="58"/>
      <c r="AH6" s="58"/>
      <c r="AI6" s="58"/>
      <c r="AJ6" s="58"/>
    </row>
    <row r="7" spans="1:36">
      <c r="A7" s="270"/>
      <c r="B7" s="270"/>
      <c r="C7" s="271"/>
      <c r="D7" s="275"/>
      <c r="E7" s="270"/>
      <c r="F7" s="271"/>
      <c r="G7" s="275" t="s">
        <v>23</v>
      </c>
      <c r="H7" s="270"/>
      <c r="I7" s="271"/>
      <c r="J7" s="298">
        <v>2022</v>
      </c>
      <c r="K7" s="299"/>
      <c r="L7" s="299"/>
      <c r="M7" s="299"/>
      <c r="AA7" s="51"/>
      <c r="AB7" s="58"/>
      <c r="AC7" s="58"/>
      <c r="AD7" s="58"/>
      <c r="AE7" s="58"/>
      <c r="AF7" s="58"/>
      <c r="AG7" s="58"/>
      <c r="AH7" s="58"/>
      <c r="AI7" s="58"/>
      <c r="AJ7" s="58"/>
    </row>
    <row r="8" spans="1:36">
      <c r="A8" s="300" t="s">
        <v>5</v>
      </c>
      <c r="B8" s="290"/>
      <c r="C8" s="290"/>
      <c r="D8" s="290"/>
      <c r="E8" s="290"/>
      <c r="F8" s="291"/>
      <c r="G8" s="301" t="s">
        <v>24</v>
      </c>
      <c r="H8" s="291"/>
      <c r="I8" s="301" t="s">
        <v>26</v>
      </c>
      <c r="J8" s="290"/>
      <c r="K8" s="290"/>
      <c r="L8" s="290"/>
      <c r="M8" s="290"/>
      <c r="AA8" s="51"/>
      <c r="AB8" s="58"/>
      <c r="AC8" s="58"/>
      <c r="AD8" s="58"/>
      <c r="AE8" s="58"/>
      <c r="AF8" s="58"/>
      <c r="AG8" s="58"/>
      <c r="AH8" s="58"/>
      <c r="AI8" s="58"/>
      <c r="AJ8" s="58"/>
    </row>
    <row r="9" spans="1:36" ht="13.8" thickBot="1">
      <c r="A9" s="309" t="s">
        <v>198</v>
      </c>
      <c r="B9" s="290"/>
      <c r="C9" s="290"/>
      <c r="D9" s="290"/>
      <c r="E9" s="290"/>
      <c r="F9" s="291"/>
      <c r="G9" s="292" t="s">
        <v>25</v>
      </c>
      <c r="H9" s="285"/>
      <c r="I9" s="599" t="s">
        <v>206</v>
      </c>
      <c r="J9" s="600"/>
      <c r="K9" s="600"/>
      <c r="L9" s="600"/>
      <c r="M9" s="600"/>
      <c r="N9" s="146" t="str">
        <f>IF($I$9="3ST","Unsignalized three-leg (stop control on minor-road approaches)",IF($I$9="4ST","Unsignalized four-leg (stop control on minor-road approaches)","Signalized four-leg"))</f>
        <v>Unsignalized three-leg (stop control on minor-road approaches)</v>
      </c>
      <c r="AA9" s="51"/>
      <c r="AB9" s="58"/>
      <c r="AC9" s="58"/>
      <c r="AD9" s="58"/>
      <c r="AE9" s="58"/>
      <c r="AF9" s="58"/>
      <c r="AG9" s="58"/>
      <c r="AH9" s="58"/>
      <c r="AI9" s="58"/>
      <c r="AJ9" s="58"/>
    </row>
    <row r="10" spans="1:36" ht="16.2" thickBot="1">
      <c r="A10" s="309" t="s">
        <v>199</v>
      </c>
      <c r="B10" s="592"/>
      <c r="C10" s="593" t="s">
        <v>532</v>
      </c>
      <c r="D10" s="140" t="s">
        <v>428</v>
      </c>
      <c r="E10" s="141">
        <f>IF($I$9="3ST",19500,IF($I$9="4ST",14700,25200))</f>
        <v>19500</v>
      </c>
      <c r="F10" s="142" t="s">
        <v>533</v>
      </c>
      <c r="G10" s="295" t="s">
        <v>25</v>
      </c>
      <c r="H10" s="291"/>
      <c r="I10" s="296">
        <v>8000</v>
      </c>
      <c r="J10" s="297"/>
      <c r="K10" s="297"/>
      <c r="L10" s="297"/>
      <c r="M10" s="297"/>
      <c r="N10" s="143" t="str">
        <f>IF(I10&gt;E10,"AADT out of range","AADT OK")</f>
        <v>AADT OK</v>
      </c>
      <c r="AA10" s="86"/>
    </row>
    <row r="11" spans="1:36" ht="16.2" thickBot="1">
      <c r="A11" s="309" t="s">
        <v>200</v>
      </c>
      <c r="B11" s="592"/>
      <c r="C11" s="594"/>
      <c r="D11" s="140" t="s">
        <v>428</v>
      </c>
      <c r="E11" s="141">
        <f>IF($I$9="3ST",4300,IF($I$9="4ST",3500,12500))</f>
        <v>4300</v>
      </c>
      <c r="F11" s="142" t="s">
        <v>533</v>
      </c>
      <c r="G11" s="295" t="s">
        <v>25</v>
      </c>
      <c r="H11" s="291"/>
      <c r="I11" s="296">
        <v>1000</v>
      </c>
      <c r="J11" s="297"/>
      <c r="K11" s="297"/>
      <c r="L11" s="297"/>
      <c r="M11" s="297"/>
      <c r="N11" s="143" t="str">
        <f>IF(I11&gt;E11,"AADT out of range","AADT OK")</f>
        <v>AADT OK</v>
      </c>
    </row>
    <row r="12" spans="1:36">
      <c r="A12" s="404" t="s">
        <v>517</v>
      </c>
      <c r="B12" s="404"/>
      <c r="C12" s="404"/>
      <c r="D12" s="404"/>
      <c r="E12" s="404"/>
      <c r="F12" s="405"/>
      <c r="G12" s="295" t="s">
        <v>25</v>
      </c>
      <c r="H12" s="291"/>
      <c r="I12" s="595" t="s">
        <v>477</v>
      </c>
      <c r="J12" s="311"/>
      <c r="K12" s="311"/>
      <c r="L12" s="311"/>
      <c r="M12" s="311"/>
      <c r="N12" s="143"/>
    </row>
    <row r="13" spans="1:36">
      <c r="A13" s="590" t="s">
        <v>201</v>
      </c>
      <c r="B13" s="590"/>
      <c r="C13" s="590"/>
      <c r="D13" s="590"/>
      <c r="E13" s="590"/>
      <c r="F13" s="591"/>
      <c r="G13" s="304">
        <v>0</v>
      </c>
      <c r="H13" s="291"/>
      <c r="I13" s="136" t="s">
        <v>230</v>
      </c>
      <c r="J13" s="212">
        <v>30</v>
      </c>
      <c r="K13" s="596" t="s">
        <v>231</v>
      </c>
      <c r="L13" s="597"/>
      <c r="M13" s="212">
        <v>30</v>
      </c>
    </row>
    <row r="14" spans="1:36">
      <c r="A14" s="309" t="s">
        <v>202</v>
      </c>
      <c r="B14" s="290"/>
      <c r="C14" s="290"/>
      <c r="D14" s="290"/>
      <c r="E14" s="290"/>
      <c r="F14" s="291"/>
      <c r="G14" s="303">
        <v>0</v>
      </c>
      <c r="H14" s="291"/>
      <c r="I14" s="310">
        <v>0</v>
      </c>
      <c r="J14" s="311"/>
      <c r="K14" s="311"/>
      <c r="L14" s="311"/>
      <c r="M14" s="311"/>
      <c r="N14" s="248" t="str">
        <f>IF(AND(I$9="3ST",I14=4),"Use a maximum value of 3.","")</f>
        <v/>
      </c>
    </row>
    <row r="15" spans="1:36">
      <c r="A15" s="309" t="s">
        <v>203</v>
      </c>
      <c r="B15" s="290"/>
      <c r="C15" s="290"/>
      <c r="D15" s="290"/>
      <c r="E15" s="290"/>
      <c r="F15" s="291"/>
      <c r="G15" s="304">
        <v>0</v>
      </c>
      <c r="H15" s="291"/>
      <c r="I15" s="595">
        <v>0</v>
      </c>
      <c r="J15" s="311"/>
      <c r="K15" s="311"/>
      <c r="L15" s="311"/>
      <c r="M15" s="311"/>
      <c r="N15" s="248" t="str">
        <f>IF(AND(I$9="3ST",I15=4),"Use a maximum value of 3.","")</f>
        <v/>
      </c>
      <c r="AA15" s="51"/>
      <c r="AE15" s="58"/>
    </row>
    <row r="16" spans="1:36" ht="13.5" customHeight="1">
      <c r="A16" s="309" t="s">
        <v>204</v>
      </c>
      <c r="B16" s="290"/>
      <c r="C16" s="290"/>
      <c r="D16" s="290"/>
      <c r="E16" s="290"/>
      <c r="F16" s="291"/>
      <c r="G16" s="315" t="s">
        <v>161</v>
      </c>
      <c r="H16" s="291"/>
      <c r="I16" s="310" t="s">
        <v>162</v>
      </c>
      <c r="J16" s="311"/>
      <c r="K16" s="311"/>
      <c r="L16" s="311"/>
      <c r="M16" s="311"/>
    </row>
    <row r="17" spans="1:31" ht="16.2" thickBot="1">
      <c r="A17" s="316" t="s">
        <v>520</v>
      </c>
      <c r="B17" s="317"/>
      <c r="C17" s="317"/>
      <c r="D17" s="317"/>
      <c r="E17" s="317"/>
      <c r="F17" s="318"/>
      <c r="G17" s="319">
        <v>1</v>
      </c>
      <c r="H17" s="320"/>
      <c r="I17" s="321">
        <v>1</v>
      </c>
      <c r="J17" s="322"/>
      <c r="K17" s="322"/>
      <c r="L17" s="322"/>
      <c r="M17" s="322"/>
      <c r="O17" s="147" t="s">
        <v>440</v>
      </c>
      <c r="AA17" s="51"/>
      <c r="AE17" s="58"/>
    </row>
    <row r="18" spans="1:31" ht="13.8" thickTop="1">
      <c r="A18" s="26"/>
      <c r="B18" s="26"/>
      <c r="C18" s="26"/>
      <c r="D18" s="26"/>
      <c r="E18" s="26"/>
      <c r="F18" s="26"/>
      <c r="G18" s="59"/>
      <c r="H18" s="60"/>
      <c r="I18" s="43"/>
      <c r="J18" s="26"/>
      <c r="K18" s="26"/>
      <c r="L18" s="26"/>
      <c r="M18" s="26"/>
    </row>
    <row r="19" spans="1:31" ht="13.8" thickBot="1">
      <c r="G19" s="1"/>
      <c r="I19" s="1"/>
    </row>
    <row r="20" spans="1:31" ht="14.25" customHeight="1" thickTop="1" thickBot="1">
      <c r="A20" s="279" t="s">
        <v>212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</row>
    <row r="21" spans="1:31">
      <c r="A21" s="514" t="s">
        <v>28</v>
      </c>
      <c r="B21" s="515"/>
      <c r="C21" s="515"/>
      <c r="D21" s="532" t="s">
        <v>29</v>
      </c>
      <c r="E21" s="515"/>
      <c r="F21" s="532" t="s">
        <v>30</v>
      </c>
      <c r="G21" s="515"/>
      <c r="H21" s="515"/>
      <c r="I21" s="532" t="s">
        <v>31</v>
      </c>
      <c r="J21" s="515"/>
      <c r="K21" s="515"/>
      <c r="L21" s="532" t="s">
        <v>32</v>
      </c>
      <c r="M21" s="571"/>
    </row>
    <row r="22" spans="1:31">
      <c r="A22" s="577" t="s">
        <v>213</v>
      </c>
      <c r="B22" s="562"/>
      <c r="C22" s="562"/>
      <c r="D22" s="555" t="s">
        <v>215</v>
      </c>
      <c r="E22" s="562"/>
      <c r="F22" s="555" t="s">
        <v>216</v>
      </c>
      <c r="G22" s="562"/>
      <c r="H22" s="562"/>
      <c r="I22" s="555" t="s">
        <v>50</v>
      </c>
      <c r="J22" s="562"/>
      <c r="K22" s="562"/>
      <c r="L22" s="555" t="s">
        <v>217</v>
      </c>
      <c r="M22" s="556"/>
    </row>
    <row r="23" spans="1:31" ht="15.6">
      <c r="A23" s="577" t="s">
        <v>383</v>
      </c>
      <c r="B23" s="562"/>
      <c r="C23" s="562"/>
      <c r="D23" s="555" t="s">
        <v>384</v>
      </c>
      <c r="E23" s="562"/>
      <c r="F23" s="555" t="s">
        <v>385</v>
      </c>
      <c r="G23" s="562"/>
      <c r="H23" s="562"/>
      <c r="I23" s="555" t="s">
        <v>386</v>
      </c>
      <c r="J23" s="562"/>
      <c r="K23" s="562"/>
      <c r="L23" s="555" t="s">
        <v>387</v>
      </c>
      <c r="M23" s="556"/>
    </row>
    <row r="24" spans="1:31" ht="13.8" thickBot="1">
      <c r="A24" s="577" t="s">
        <v>214</v>
      </c>
      <c r="B24" s="562"/>
      <c r="C24" s="562"/>
      <c r="D24" s="555" t="s">
        <v>420</v>
      </c>
      <c r="E24" s="562"/>
      <c r="F24" s="555" t="s">
        <v>421</v>
      </c>
      <c r="G24" s="562"/>
      <c r="H24" s="562"/>
      <c r="I24" s="555" t="s">
        <v>422</v>
      </c>
      <c r="J24" s="562"/>
      <c r="K24" s="562"/>
      <c r="L24" s="557" t="s">
        <v>218</v>
      </c>
      <c r="M24" s="556"/>
    </row>
    <row r="25" spans="1:31" ht="13.8" thickBot="1">
      <c r="A25" s="516">
        <f>IF($I$9="3ST",(EXP(0.004*$J$13)),IF($I$9="4ST",(EXP(0.0054*$J$13)+EXP(0.0054*$M$13))/2,1))</f>
        <v>1.1274968515793757</v>
      </c>
      <c r="B25" s="516"/>
      <c r="C25" s="517"/>
      <c r="D25" s="526">
        <f>IF($I$9="3ST",(IF($I$14=0,1,(HLOOKUP($I$14,'Intersection Tables'!$AD$9:$AG$15,3,FALSE)))),(IF($I$9="4ST",(IF($I$14=0,1,(HLOOKUP($I$14,'Intersection Tables'!$AD$9:$AG$15,5,FALSE)))),(IF($I$14=0,1,(HLOOKUP($I$14,'Intersection Tables'!$AD$9:$AG$15,7,FALSE)))))))</f>
        <v>1</v>
      </c>
      <c r="E25" s="517"/>
      <c r="F25" s="527">
        <f>IF($I$9="3ST",(IF($I$15=0,1,(HLOOKUP($I$15,'Intersection Tables'!$AD$25:$AG$31,3,FALSE)))),(IF($I$9="4ST",(IF($I$15=0,1,(HLOOKUP($I$15,'Intersection Tables'!$AD$25:$AG$31,5,FALSE)))),(IF($I$15=0,1,(HLOOKUP($I$15,'Intersection Tables'!$AD$25:$AG$31,7,FALSE)))))))</f>
        <v>1</v>
      </c>
      <c r="G25" s="528"/>
      <c r="H25" s="396"/>
      <c r="I25" s="526">
        <f>IF(($I$16="Not Present"),1,(1-0.38*(IF('Intersection Tables'!$D$49="No",(VLOOKUP( $I$9,'Intersection Tables'!$B$50:$F$52,4,FALSE)),(VLOOKUP($I$9,'Intersection Tables'!B50:H52,6,FALSE))))))</f>
        <v>0.9012</v>
      </c>
      <c r="J25" s="563"/>
      <c r="K25" s="564"/>
      <c r="L25" s="565">
        <f>+A25*D25*F25*I25</f>
        <v>1.0161001626433335</v>
      </c>
      <c r="M25" s="566"/>
    </row>
    <row r="26" spans="1:31">
      <c r="A26" s="528"/>
      <c r="B26" s="528"/>
      <c r="C26" s="528"/>
      <c r="D26" s="76"/>
      <c r="E26" s="76"/>
      <c r="F26" s="528"/>
      <c r="G26" s="528"/>
      <c r="H26" s="396"/>
      <c r="I26" s="528"/>
      <c r="J26" s="578"/>
      <c r="K26" s="578"/>
    </row>
    <row r="27" spans="1:31" ht="13.8" thickBot="1">
      <c r="A27" s="51"/>
      <c r="C27" s="143"/>
      <c r="G27" s="58"/>
      <c r="H27" s="61"/>
      <c r="I27" s="58"/>
    </row>
    <row r="28" spans="1:31" ht="14.4" thickTop="1" thickBot="1">
      <c r="A28" s="279" t="s">
        <v>219</v>
      </c>
      <c r="B28" s="280"/>
      <c r="C28" s="280"/>
      <c r="D28" s="280"/>
      <c r="E28" s="280"/>
      <c r="F28" s="280"/>
      <c r="G28" s="280"/>
      <c r="H28" s="280"/>
      <c r="I28" s="281"/>
      <c r="J28" s="281"/>
      <c r="K28" s="281"/>
      <c r="L28" s="281"/>
      <c r="M28" s="281"/>
    </row>
    <row r="29" spans="1:31">
      <c r="A29" s="529" t="s">
        <v>28</v>
      </c>
      <c r="B29" s="481"/>
      <c r="C29" s="525" t="s">
        <v>29</v>
      </c>
      <c r="D29" s="481"/>
      <c r="E29" s="70" t="s">
        <v>30</v>
      </c>
      <c r="F29" s="2" t="s">
        <v>31</v>
      </c>
      <c r="G29" s="525" t="s">
        <v>32</v>
      </c>
      <c r="H29" s="481"/>
      <c r="I29" s="70" t="s">
        <v>33</v>
      </c>
      <c r="J29" s="525" t="s">
        <v>34</v>
      </c>
      <c r="K29" s="481"/>
      <c r="L29" s="525" t="s">
        <v>35</v>
      </c>
      <c r="M29" s="487"/>
    </row>
    <row r="30" spans="1:31" ht="16.5" customHeight="1">
      <c r="A30" s="518" t="s">
        <v>75</v>
      </c>
      <c r="B30" s="329"/>
      <c r="C30" s="575" t="s">
        <v>220</v>
      </c>
      <c r="D30" s="576"/>
      <c r="E30" s="530" t="s">
        <v>77</v>
      </c>
      <c r="F30" s="530" t="s">
        <v>78</v>
      </c>
      <c r="G30" s="530" t="s">
        <v>221</v>
      </c>
      <c r="H30" s="531"/>
      <c r="I30" s="530" t="s">
        <v>80</v>
      </c>
      <c r="J30" s="520" t="s">
        <v>521</v>
      </c>
      <c r="K30" s="520"/>
      <c r="L30" s="530" t="s">
        <v>244</v>
      </c>
      <c r="M30" s="560"/>
    </row>
    <row r="31" spans="1:31">
      <c r="A31" s="336"/>
      <c r="B31" s="329"/>
      <c r="C31" s="524"/>
      <c r="D31" s="524"/>
      <c r="E31" s="473"/>
      <c r="F31" s="522"/>
      <c r="G31" s="522"/>
      <c r="H31" s="522"/>
      <c r="I31" s="522"/>
      <c r="J31" s="520"/>
      <c r="K31" s="520"/>
      <c r="L31" s="522"/>
      <c r="M31" s="561"/>
    </row>
    <row r="32" spans="1:31">
      <c r="A32" s="336"/>
      <c r="B32" s="329"/>
      <c r="C32" s="521" t="s">
        <v>222</v>
      </c>
      <c r="D32" s="521"/>
      <c r="E32" s="521" t="s">
        <v>223</v>
      </c>
      <c r="F32" s="521" t="s">
        <v>409</v>
      </c>
      <c r="G32" s="523" t="s">
        <v>224</v>
      </c>
      <c r="H32" s="524"/>
      <c r="I32" s="521" t="s">
        <v>388</v>
      </c>
      <c r="J32" s="520"/>
      <c r="K32" s="520"/>
      <c r="L32" s="523" t="s">
        <v>225</v>
      </c>
      <c r="M32" s="354"/>
    </row>
    <row r="33" spans="1:32">
      <c r="A33" s="519"/>
      <c r="B33" s="330"/>
      <c r="C33" s="521"/>
      <c r="D33" s="521"/>
      <c r="E33" s="521"/>
      <c r="F33" s="522"/>
      <c r="G33" s="524"/>
      <c r="H33" s="524"/>
      <c r="I33" s="522"/>
      <c r="J33" s="520"/>
      <c r="K33" s="520"/>
      <c r="L33" s="524"/>
      <c r="M33" s="354"/>
      <c r="U33" s="46"/>
      <c r="V33" s="46"/>
      <c r="W33" s="46"/>
      <c r="X33" s="46"/>
    </row>
    <row r="34" spans="1:32">
      <c r="A34" s="586" t="s">
        <v>85</v>
      </c>
      <c r="B34" s="587"/>
      <c r="C34" s="585">
        <f>EXP(HLOOKUP(I9&amp;'Intersection Tables'!U6,'Intersection Tables'!R7:X11,MATCH("Constant",'Intersection Tables'!R7:R11,0),FALSE))*I10^HLOOKUP(I9&amp;'Intersection Tables'!U6,'Intersection Tables'!R7:X11,MATCH("AADTmaj",'Intersection Tables'!R7:R11,0),FALSE)*I11^HLOOKUP(I9&amp;'Intersection Tables'!U6,'Intersection Tables'!R7:X11,MATCH("AADTmin",'Intersection Tables'!R7:R11,0),FALSE)</f>
        <v>0.46095541954800412</v>
      </c>
      <c r="D34" s="585"/>
      <c r="E34" s="67">
        <f>HLOOKUP(I9&amp;'Intersection Tables'!U6,'Intersection Tables'!R7:X11,MATCH("Overdispersion",'Intersection Tables'!R7:R11,0),FALSE)</f>
        <v>0.40500000000000003</v>
      </c>
      <c r="F34" s="80">
        <f>IF($I$9="3ST",IF('Intersection Tables'!$D$10="No",'Intersection Tables'!$E$17,'Intersection Tables'!$K$17),(IF($I$9="4ST",(IF('Intersection Tables'!$D$10="No",'Intersection Tables'!$G$17,'Intersection Tables'!$M$17)),(IF('Intersection Tables'!$D$10="No",'Intersection Tables'!$I$17,'Intersection Tables'!$O$17)))))/100</f>
        <v>1</v>
      </c>
      <c r="G34" s="588">
        <f>+C34*F34</f>
        <v>0.46095541954800412</v>
      </c>
      <c r="H34" s="589"/>
      <c r="I34" s="164">
        <f>+$L$25</f>
        <v>1.0161001626433335</v>
      </c>
      <c r="J34" s="579">
        <f>$I$17*VLOOKUP(VLOOKUP($I$12,'Intersection Tables'!$J$47:$K$73,MATCH("Region",'Intersection Tables'!$J$47:$K$47,0),FALSE),'Intersection Tables'!$B$57:$C$61,2,FALSE)</f>
        <v>1</v>
      </c>
      <c r="K34" s="580"/>
      <c r="L34" s="542">
        <f>+G34*I34*J34</f>
        <v>0.46837687677405299</v>
      </c>
      <c r="M34" s="543"/>
      <c r="U34" s="46"/>
      <c r="V34" s="46"/>
      <c r="W34" s="46"/>
      <c r="X34" s="46"/>
    </row>
    <row r="35" spans="1:32">
      <c r="A35" s="586" t="s">
        <v>86</v>
      </c>
      <c r="B35" s="587"/>
      <c r="C35" s="548" t="s">
        <v>25</v>
      </c>
      <c r="D35" s="473"/>
      <c r="E35" s="68" t="s">
        <v>25</v>
      </c>
      <c r="F35" s="80">
        <f>IF($I$9="3ST",IF('Intersection Tables'!$D$10="No",'Intersection Tables'!$E$15,'Intersection Tables'!$K$15),(IF($I$9="4ST",(IF('Intersection Tables'!$D$10="No",'Intersection Tables'!$G$15,'Intersection Tables'!$M$15)),(IF('Intersection Tables'!$D$10="No",'Intersection Tables'!$I$15,'Intersection Tables'!$O$15)))))/100</f>
        <v>0.33500000000000002</v>
      </c>
      <c r="G35" s="588">
        <f>+C34*F35</f>
        <v>0.1544200655485814</v>
      </c>
      <c r="H35" s="589"/>
      <c r="I35" s="164">
        <f>+$L$25</f>
        <v>1.0161001626433335</v>
      </c>
      <c r="J35" s="579">
        <f>$I$17*VLOOKUP(VLOOKUP($I$12,'Intersection Tables'!$J$47:$K$73,MATCH("Region",'Intersection Tables'!$J$47:$K$47,0),FALSE),'Intersection Tables'!$B$57:$C$61,2,FALSE)</f>
        <v>1</v>
      </c>
      <c r="K35" s="580"/>
      <c r="L35" s="542">
        <f>+G35*I35*J35</f>
        <v>0.15690625371930778</v>
      </c>
      <c r="M35" s="543"/>
      <c r="U35" s="46"/>
      <c r="V35" s="46"/>
      <c r="W35" s="46"/>
      <c r="X35" s="46"/>
    </row>
    <row r="36" spans="1:32" ht="13.8" thickBot="1">
      <c r="A36" s="582" t="s">
        <v>87</v>
      </c>
      <c r="B36" s="583"/>
      <c r="C36" s="584" t="s">
        <v>25</v>
      </c>
      <c r="D36" s="546"/>
      <c r="E36" s="69" t="s">
        <v>25</v>
      </c>
      <c r="F36" s="81">
        <f>IF($I$9="3ST",IF('Intersection Tables'!$D$10="No",'Intersection Tables'!$E$16,'Intersection Tables'!$K$16),(IF($I$9="4ST",(IF('Intersection Tables'!$D$10="No",'Intersection Tables'!$G$16,'Intersection Tables'!$M$16)),(IF('Intersection Tables'!$D$10="No",'Intersection Tables'!$I$16,'Intersection Tables'!$O$16)))))/100</f>
        <v>0.66500000000000004</v>
      </c>
      <c r="G36" s="538">
        <f>+C34*F36</f>
        <v>0.30653535399942278</v>
      </c>
      <c r="H36" s="539"/>
      <c r="I36" s="165">
        <f>+$L$25</f>
        <v>1.0161001626433335</v>
      </c>
      <c r="J36" s="558">
        <f>$I$17*VLOOKUP(VLOOKUP($I$12,'Intersection Tables'!$J$47:$K$73,MATCH("Region",'Intersection Tables'!$J$47:$K$47,0),FALSE),'Intersection Tables'!$B$57:$C$61,2,FALSE)</f>
        <v>1</v>
      </c>
      <c r="K36" s="559"/>
      <c r="L36" s="540">
        <f>+G36*I36*J36</f>
        <v>0.31147062305474527</v>
      </c>
      <c r="M36" s="541"/>
    </row>
    <row r="37" spans="1:32">
      <c r="A37" s="63"/>
      <c r="B37" s="63"/>
      <c r="C37" s="137"/>
      <c r="D37" s="137"/>
      <c r="E37" s="63"/>
      <c r="F37" s="63"/>
      <c r="G37" s="63"/>
      <c r="H37" s="63"/>
      <c r="I37" s="63"/>
      <c r="J37" s="63"/>
      <c r="K37" s="63"/>
      <c r="L37" s="63"/>
      <c r="M37" s="63"/>
      <c r="X37" s="77"/>
      <c r="Y37" s="77"/>
      <c r="Z37" s="77"/>
      <c r="AA37" s="77"/>
      <c r="AB37" s="77"/>
      <c r="AC37" s="77"/>
      <c r="AD37" s="77"/>
      <c r="AE37" s="77"/>
      <c r="AF37" s="77"/>
    </row>
    <row r="38" spans="1:32" ht="13.8" thickBo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X38" s="1"/>
      <c r="AC38" s="1"/>
      <c r="AD38" s="1"/>
      <c r="AE38" s="1"/>
      <c r="AF38" s="1"/>
    </row>
    <row r="39" spans="1:32" ht="14.4" thickTop="1" thickBot="1">
      <c r="A39" s="279" t="s">
        <v>226</v>
      </c>
      <c r="B39" s="280"/>
      <c r="C39" s="280"/>
      <c r="D39" s="280"/>
      <c r="E39" s="280"/>
      <c r="F39" s="280"/>
      <c r="G39" s="280"/>
      <c r="H39" s="356"/>
      <c r="I39" s="356"/>
      <c r="J39" s="356"/>
      <c r="K39" s="356"/>
      <c r="L39" s="356"/>
      <c r="M39" s="356"/>
      <c r="X39" s="15"/>
      <c r="AC39" s="15"/>
      <c r="AD39" s="15"/>
      <c r="AE39" s="15"/>
    </row>
    <row r="40" spans="1:32">
      <c r="A40" s="357" t="s">
        <v>28</v>
      </c>
      <c r="B40" s="358"/>
      <c r="C40" s="16" t="s">
        <v>29</v>
      </c>
      <c r="D40" s="359" t="s">
        <v>30</v>
      </c>
      <c r="E40" s="360"/>
      <c r="F40" s="359" t="s">
        <v>31</v>
      </c>
      <c r="G40" s="360"/>
      <c r="H40" s="361" t="s">
        <v>32</v>
      </c>
      <c r="I40" s="362"/>
      <c r="J40" s="359" t="s">
        <v>33</v>
      </c>
      <c r="K40" s="360"/>
      <c r="L40" s="361" t="s">
        <v>34</v>
      </c>
      <c r="M40" s="363"/>
      <c r="AC40" s="15"/>
      <c r="AD40" s="15"/>
      <c r="AE40" s="15"/>
    </row>
    <row r="41" spans="1:32">
      <c r="A41" s="572" t="s">
        <v>89</v>
      </c>
      <c r="B41" s="533"/>
      <c r="C41" s="533" t="s">
        <v>93</v>
      </c>
      <c r="D41" s="533" t="s">
        <v>248</v>
      </c>
      <c r="E41" s="536"/>
      <c r="F41" s="533" t="s">
        <v>91</v>
      </c>
      <c r="G41" s="533"/>
      <c r="H41" s="533" t="s">
        <v>249</v>
      </c>
      <c r="I41" s="533"/>
      <c r="J41" s="533" t="s">
        <v>94</v>
      </c>
      <c r="K41" s="533"/>
      <c r="L41" s="533" t="s">
        <v>250</v>
      </c>
      <c r="M41" s="346"/>
      <c r="AC41" s="15"/>
      <c r="AD41" s="15"/>
      <c r="AE41" s="20"/>
    </row>
    <row r="42" spans="1:32">
      <c r="A42" s="573"/>
      <c r="B42" s="574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537"/>
      <c r="AC42" s="1"/>
      <c r="AD42" s="31"/>
      <c r="AE42" s="17"/>
    </row>
    <row r="43" spans="1:32">
      <c r="A43" s="462"/>
      <c r="B43" s="534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463"/>
    </row>
    <row r="44" spans="1:32">
      <c r="A44" s="462"/>
      <c r="B44" s="534"/>
      <c r="C44" s="569" t="s">
        <v>410</v>
      </c>
      <c r="D44" s="567" t="s">
        <v>245</v>
      </c>
      <c r="E44" s="570"/>
      <c r="F44" s="569" t="s">
        <v>411</v>
      </c>
      <c r="G44" s="581"/>
      <c r="H44" s="567" t="s">
        <v>246</v>
      </c>
      <c r="I44" s="570"/>
      <c r="J44" s="569" t="s">
        <v>411</v>
      </c>
      <c r="K44" s="581"/>
      <c r="L44" s="567" t="s">
        <v>247</v>
      </c>
      <c r="M44" s="568"/>
    </row>
    <row r="45" spans="1:32">
      <c r="A45" s="465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463"/>
    </row>
    <row r="46" spans="1:32">
      <c r="A46" s="290" t="s">
        <v>85</v>
      </c>
      <c r="B46" s="291"/>
      <c r="C46" s="13">
        <f>IF('Intersection Tables'!$D$27="No",(IF($I$9="3ST",'Intersection Tables'!G43,(IF($I$9="4ST",'Intersection Tables'!J43,'Intersection Tables'!M43)))/100),(IF($I$9="3ST",'Intersection Tables'!P43,(IF($I$9="4ST",+'Intersection Tables'!S43,+'Intersection Tables'!V43)))/100))</f>
        <v>1</v>
      </c>
      <c r="D46" s="347">
        <f>+L34</f>
        <v>0.46837687677405299</v>
      </c>
      <c r="E46" s="255"/>
      <c r="F46" s="347">
        <f>IF('Intersection Tables'!$D$27="No",(IF($I$9="3ST",'Intersection Tables'!E43,(IF($I$9="4ST",'Intersection Tables'!H43,'Intersection Tables'!K43)))/100),(IF($I$9="3ST",'Intersection Tables'!N43,(IF($I$9="4ST",+'Intersection Tables'!Q43,+'Intersection Tables'!T43)))/100))</f>
        <v>0.99900000000000011</v>
      </c>
      <c r="G46" s="255"/>
      <c r="H46" s="347">
        <f>+L35</f>
        <v>0.15690625371930778</v>
      </c>
      <c r="I46" s="255"/>
      <c r="J46" s="347">
        <f>IF('Intersection Tables'!$D$27="No",(IF($I$9="3ST",'Intersection Tables'!F43,(IF($I$9="4ST",'Intersection Tables'!I43,'Intersection Tables'!L43)))/100),(IF($I$9="3ST",'Intersection Tables'!O43,(IF($I$9="4ST",+'Intersection Tables'!R43,+'Intersection Tables'!U43)))/100))</f>
        <v>1.0009999999999999</v>
      </c>
      <c r="K46" s="255"/>
      <c r="L46" s="347">
        <f>+L36</f>
        <v>0.31147062305474527</v>
      </c>
      <c r="M46" s="260"/>
    </row>
    <row r="47" spans="1:32" ht="13.8" thickBot="1">
      <c r="A47" s="270"/>
      <c r="B47" s="271"/>
      <c r="C47" s="4"/>
      <c r="D47" s="366" t="s">
        <v>99</v>
      </c>
      <c r="E47" s="379"/>
      <c r="F47" s="380"/>
      <c r="G47" s="381"/>
      <c r="H47" s="382" t="s">
        <v>100</v>
      </c>
      <c r="I47" s="381"/>
      <c r="J47" s="383"/>
      <c r="K47" s="259"/>
      <c r="L47" s="382" t="s">
        <v>101</v>
      </c>
      <c r="M47" s="384"/>
    </row>
    <row r="48" spans="1:32" ht="13.8" thickBot="1">
      <c r="A48" s="385" t="s">
        <v>102</v>
      </c>
      <c r="B48" s="386"/>
      <c r="C48" s="386"/>
      <c r="D48" s="386"/>
      <c r="E48" s="386"/>
      <c r="F48" s="386"/>
      <c r="G48" s="386"/>
      <c r="H48" s="387"/>
      <c r="I48" s="387"/>
      <c r="J48" s="387"/>
      <c r="K48" s="387"/>
      <c r="L48" s="387"/>
      <c r="M48" s="387"/>
    </row>
    <row r="49" spans="1:13">
      <c r="A49" s="388" t="s">
        <v>103</v>
      </c>
      <c r="B49" s="389"/>
      <c r="C49" s="13">
        <f>IF('Intersection Tables'!$D$27="No",(IF($I$9="3ST",'Intersection Tables'!G29,(IF($I$9="4ST",'Intersection Tables'!J29,'Intersection Tables'!M29)))/100),(IF($I$9="3ST",'Intersection Tables'!P29,(IF($I$9="4ST",+'Intersection Tables'!S29,+'Intersection Tables'!V29)))/100))</f>
        <v>9.0000000000000011E-3</v>
      </c>
      <c r="D49" s="390">
        <f>+C49*$D$46</f>
        <v>4.2153918909664774E-3</v>
      </c>
      <c r="E49" s="391"/>
      <c r="F49" s="390">
        <f>IF('Intersection Tables'!$D$27="No",(IF($I$9="3ST",'Intersection Tables'!E29,(IF($I$9="4ST",'Intersection Tables'!H29,'Intersection Tables'!K29)))/100),(IF($I$9="3ST",'Intersection Tables'!N29,(IF($I$9="4ST",+'Intersection Tables'!Q29,+'Intersection Tables'!T29)))/100))</f>
        <v>0</v>
      </c>
      <c r="G49" s="552"/>
      <c r="H49" s="390">
        <f>+$H$46*F49</f>
        <v>0</v>
      </c>
      <c r="I49" s="391"/>
      <c r="J49" s="390">
        <f>IF('Intersection Tables'!$D$27="No",(IF($I$9="3ST",'Intersection Tables'!F29,(IF($I$9="4ST",'Intersection Tables'!I29,'Intersection Tables'!L29)))/100),(IF($I$9="3ST",'Intersection Tables'!O29,(IF($I$9="4ST",+'Intersection Tables'!R29,+'Intersection Tables'!U29)))/100))</f>
        <v>1.3999999999999999E-2</v>
      </c>
      <c r="K49" s="552"/>
      <c r="L49" s="390">
        <f>+$L$46*J49</f>
        <v>4.360588722766433E-3</v>
      </c>
      <c r="M49" s="392"/>
    </row>
    <row r="50" spans="1:13">
      <c r="A50" s="290" t="s">
        <v>104</v>
      </c>
      <c r="B50" s="291"/>
      <c r="C50" s="13">
        <f>IF('Intersection Tables'!$D$27="No",(IF($I$9="3ST",'Intersection Tables'!G30,(IF($I$9="4ST",'Intersection Tables'!J30,'Intersection Tables'!M30)))/100),(IF($I$9="3ST",'Intersection Tables'!P30,(IF($I$9="4ST",+'Intersection Tables'!S30,+'Intersection Tables'!V30)))/100))</f>
        <v>0</v>
      </c>
      <c r="D50" s="347">
        <f t="shared" ref="D50:D55" si="0">+C50*$D$46</f>
        <v>0</v>
      </c>
      <c r="E50" s="348"/>
      <c r="F50" s="347">
        <f>IF('Intersection Tables'!$D$27="No",(IF($I$9="3ST",'Intersection Tables'!E30,(IF($I$9="4ST",'Intersection Tables'!H30,'Intersection Tables'!K30)))/100),(IF($I$9="3ST",'Intersection Tables'!N30,(IF($I$9="4ST",+'Intersection Tables'!Q30,+'Intersection Tables'!T30)))/100))</f>
        <v>0</v>
      </c>
      <c r="G50" s="255"/>
      <c r="H50" s="347">
        <f t="shared" ref="H50:H55" si="1">+$H$46*F50</f>
        <v>0</v>
      </c>
      <c r="I50" s="348"/>
      <c r="J50" s="347">
        <f>IF('Intersection Tables'!$D$27="No",(IF($I$9="3ST",'Intersection Tables'!F30,(IF($I$9="4ST",'Intersection Tables'!I30,'Intersection Tables'!L30)))/100),(IF($I$9="3ST",'Intersection Tables'!O30,(IF($I$9="4ST",+'Intersection Tables'!R30,+'Intersection Tables'!U30)))/100))</f>
        <v>0</v>
      </c>
      <c r="K50" s="255"/>
      <c r="L50" s="347">
        <f t="shared" ref="L50:L55" si="2">+$L$46*J50</f>
        <v>0</v>
      </c>
      <c r="M50" s="393"/>
    </row>
    <row r="51" spans="1:13">
      <c r="A51" s="290" t="s">
        <v>105</v>
      </c>
      <c r="B51" s="291"/>
      <c r="C51" s="13">
        <f>IF('Intersection Tables'!$D$27="No",(IF($I$9="3ST",'Intersection Tables'!G31,(IF($I$9="4ST",'Intersection Tables'!J31,'Intersection Tables'!M31)))/100),(IF($I$9="3ST",'Intersection Tables'!P31,(IF($I$9="4ST",+'Intersection Tables'!S31,+'Intersection Tables'!V31)))/100))</f>
        <v>6.0000000000000001E-3</v>
      </c>
      <c r="D51" s="347">
        <f t="shared" si="0"/>
        <v>2.8102612606443179E-3</v>
      </c>
      <c r="E51" s="348"/>
      <c r="F51" s="347">
        <f>IF('Intersection Tables'!$D$27="No",(IF($I$9="3ST",'Intersection Tables'!E31,(IF($I$9="4ST",'Intersection Tables'!H31,'Intersection Tables'!K31)))/100),(IF($I$9="3ST",'Intersection Tables'!N31,(IF($I$9="4ST",+'Intersection Tables'!Q31,+'Intersection Tables'!T31)))/100))</f>
        <v>1.8000000000000002E-2</v>
      </c>
      <c r="G51" s="255"/>
      <c r="H51" s="347">
        <f t="shared" si="1"/>
        <v>2.8243125669475404E-3</v>
      </c>
      <c r="I51" s="348"/>
      <c r="J51" s="347">
        <f>IF('Intersection Tables'!$D$27="No",(IF($I$9="3ST",'Intersection Tables'!F31,(IF($I$9="4ST",'Intersection Tables'!I31,'Intersection Tables'!L31)))/100),(IF($I$9="3ST",'Intersection Tables'!O31,(IF($I$9="4ST",+'Intersection Tables'!R31,+'Intersection Tables'!U31)))/100))</f>
        <v>0</v>
      </c>
      <c r="K51" s="255"/>
      <c r="L51" s="347">
        <f t="shared" si="2"/>
        <v>0</v>
      </c>
      <c r="M51" s="393"/>
    </row>
    <row r="52" spans="1:13">
      <c r="A52" s="290" t="s">
        <v>106</v>
      </c>
      <c r="B52" s="291"/>
      <c r="C52" s="13">
        <f>IF('Intersection Tables'!$D$27="No",(IF($I$9="3ST",'Intersection Tables'!G32,(IF($I$9="4ST",'Intersection Tables'!J32,'Intersection Tables'!M32)))/100),(IF($I$9="3ST",'Intersection Tables'!P32,(IF($I$9="4ST",+'Intersection Tables'!S32,+'Intersection Tables'!V32)))/100))</f>
        <v>0</v>
      </c>
      <c r="D52" s="347">
        <f t="shared" si="0"/>
        <v>0</v>
      </c>
      <c r="E52" s="348"/>
      <c r="F52" s="347">
        <f>IF('Intersection Tables'!$D$27="No",(IF($I$9="3ST",'Intersection Tables'!E32,(IF($I$9="4ST",'Intersection Tables'!H32,'Intersection Tables'!K32)))/100),(IF($I$9="3ST",'Intersection Tables'!N32,(IF($I$9="4ST",+'Intersection Tables'!Q32,+'Intersection Tables'!T32)))/100))</f>
        <v>0</v>
      </c>
      <c r="G52" s="255"/>
      <c r="H52" s="347">
        <f t="shared" si="1"/>
        <v>0</v>
      </c>
      <c r="I52" s="348"/>
      <c r="J52" s="347">
        <f>IF('Intersection Tables'!$D$27="No",(IF($I$9="3ST",'Intersection Tables'!F32,(IF($I$9="4ST",'Intersection Tables'!I32,'Intersection Tables'!L32)))/100),(IF($I$9="3ST",'Intersection Tables'!O32,(IF($I$9="4ST",+'Intersection Tables'!R32,+'Intersection Tables'!U32)))/100))</f>
        <v>0</v>
      </c>
      <c r="K52" s="255"/>
      <c r="L52" s="347">
        <f t="shared" si="2"/>
        <v>0</v>
      </c>
      <c r="M52" s="393"/>
    </row>
    <row r="53" spans="1:13">
      <c r="A53" s="290" t="s">
        <v>107</v>
      </c>
      <c r="B53" s="291"/>
      <c r="C53" s="13">
        <f>IF('Intersection Tables'!$D$27="No",(IF($I$9="3ST",'Intersection Tables'!G33,(IF($I$9="4ST",'Intersection Tables'!J33,'Intersection Tables'!M33)))/100),(IF($I$9="3ST",'Intersection Tables'!P33,(IF($I$9="4ST",+'Intersection Tables'!S33,+'Intersection Tables'!V33)))/100))</f>
        <v>0.37799999999999995</v>
      </c>
      <c r="D53" s="347">
        <f t="shared" si="0"/>
        <v>0.177046459420592</v>
      </c>
      <c r="E53" s="348"/>
      <c r="F53" s="347">
        <f>IF('Intersection Tables'!$D$27="No",(IF($I$9="3ST",'Intersection Tables'!E33,(IF($I$9="4ST",'Intersection Tables'!H33,'Intersection Tables'!K33)))/100),(IF($I$9="3ST",'Intersection Tables'!N33,(IF($I$9="4ST",+'Intersection Tables'!Q33,+'Intersection Tables'!T33)))/100))</f>
        <v>0.27</v>
      </c>
      <c r="G53" s="255"/>
      <c r="H53" s="347">
        <f t="shared" si="1"/>
        <v>4.2364688504213099E-2</v>
      </c>
      <c r="I53" s="348"/>
      <c r="J53" s="347">
        <f>IF('Intersection Tables'!$D$27="No",(IF($I$9="3ST",'Intersection Tables'!F33,(IF($I$9="4ST",'Intersection Tables'!I33,'Intersection Tables'!L33)))/100),(IF($I$9="3ST",'Intersection Tables'!O33,(IF($I$9="4ST",+'Intersection Tables'!R33,+'Intersection Tables'!U33)))/100))</f>
        <v>0.43200000000000005</v>
      </c>
      <c r="K53" s="255"/>
      <c r="L53" s="347">
        <f t="shared" si="2"/>
        <v>0.13455530915964997</v>
      </c>
      <c r="M53" s="393"/>
    </row>
    <row r="54" spans="1:13">
      <c r="A54" s="290" t="s">
        <v>108</v>
      </c>
      <c r="B54" s="291"/>
      <c r="C54" s="13">
        <f>IF('Intersection Tables'!$D$27="No",(IF($I$9="3ST",'Intersection Tables'!G34,(IF($I$9="4ST",'Intersection Tables'!J34,'Intersection Tables'!M34)))/100),(IF($I$9="3ST",'Intersection Tables'!P34,(IF($I$9="4ST",+'Intersection Tables'!S34,+'Intersection Tables'!V34)))/100))</f>
        <v>1.8000000000000002E-2</v>
      </c>
      <c r="D54" s="347">
        <f t="shared" si="0"/>
        <v>8.4307837819329549E-3</v>
      </c>
      <c r="E54" s="348"/>
      <c r="F54" s="347">
        <f>IF('Intersection Tables'!$D$27="No",(IF($I$9="3ST",'Intersection Tables'!E34,(IF($I$9="4ST",'Intersection Tables'!H34,'Intersection Tables'!K34)))/100),(IF($I$9="3ST",'Intersection Tables'!N34,(IF($I$9="4ST",+'Intersection Tables'!Q34,+'Intersection Tables'!T34)))/100))</f>
        <v>1.8000000000000002E-2</v>
      </c>
      <c r="G54" s="255"/>
      <c r="H54" s="347">
        <f t="shared" si="1"/>
        <v>2.8243125669475404E-3</v>
      </c>
      <c r="I54" s="348"/>
      <c r="J54" s="347">
        <f>IF('Intersection Tables'!$D$27="No",(IF($I$9="3ST",'Intersection Tables'!F34,(IF($I$9="4ST",'Intersection Tables'!I34,'Intersection Tables'!L34)))/100),(IF($I$9="3ST",'Intersection Tables'!O34,(IF($I$9="4ST",+'Intersection Tables'!R34,+'Intersection Tables'!U34)))/100))</f>
        <v>1.8000000000000002E-2</v>
      </c>
      <c r="K54" s="255"/>
      <c r="L54" s="347">
        <f t="shared" si="2"/>
        <v>5.6064712149854158E-3</v>
      </c>
      <c r="M54" s="393"/>
    </row>
    <row r="55" spans="1:13" ht="13.8" thickBot="1">
      <c r="A55" s="394" t="s">
        <v>109</v>
      </c>
      <c r="B55" s="367"/>
      <c r="C55" s="13">
        <f>IF('Intersection Tables'!$D$27="No",(IF($I$9="3ST",'Intersection Tables'!G35,(IF($I$9="4ST",'Intersection Tables'!J35,'Intersection Tables'!M35)))/100),(IF($I$9="3ST",'Intersection Tables'!P35,(IF($I$9="4ST",+'Intersection Tables'!S35,+'Intersection Tables'!V35)))/100))</f>
        <v>0.41099999999999992</v>
      </c>
      <c r="D55" s="368">
        <f t="shared" si="0"/>
        <v>0.19250289635413573</v>
      </c>
      <c r="E55" s="370"/>
      <c r="F55" s="368">
        <f>IF('Intersection Tables'!$D$27="No",(IF($I$9="3ST",'Intersection Tables'!E35,(IF($I$9="4ST",'Intersection Tables'!H35,'Intersection Tables'!K35)))/100),(IF($I$9="3ST",'Intersection Tables'!N35,(IF($I$9="4ST",+'Intersection Tables'!Q35,+'Intersection Tables'!T35)))/100))</f>
        <v>0.30599999999999999</v>
      </c>
      <c r="G55" s="259"/>
      <c r="H55" s="368">
        <f t="shared" si="1"/>
        <v>4.8013313638108179E-2</v>
      </c>
      <c r="I55" s="370"/>
      <c r="J55" s="368">
        <f>IF('Intersection Tables'!$D$27="No",(IF($I$9="3ST",'Intersection Tables'!F35,(IF($I$9="4ST",'Intersection Tables'!I35,'Intersection Tables'!L35)))/100),(IF($I$9="3ST",'Intersection Tables'!O35,(IF($I$9="4ST",+'Intersection Tables'!R35,+'Intersection Tables'!U35)))/100))</f>
        <v>0.46399999999999997</v>
      </c>
      <c r="K55" s="259"/>
      <c r="L55" s="368">
        <f t="shared" si="2"/>
        <v>0.14452236909740179</v>
      </c>
      <c r="M55" s="395"/>
    </row>
    <row r="56" spans="1:13" ht="13.8" thickBot="1">
      <c r="A56" s="385" t="s">
        <v>110</v>
      </c>
      <c r="B56" s="386"/>
      <c r="C56" s="386"/>
      <c r="D56" s="386"/>
      <c r="E56" s="386"/>
      <c r="F56" s="386"/>
      <c r="G56" s="386"/>
      <c r="H56" s="387"/>
      <c r="I56" s="387"/>
      <c r="J56" s="387"/>
      <c r="K56" s="387"/>
      <c r="L56" s="387"/>
      <c r="M56" s="387"/>
    </row>
    <row r="57" spans="1:13">
      <c r="A57" s="396" t="s">
        <v>111</v>
      </c>
      <c r="B57" s="397"/>
      <c r="C57" s="13">
        <f>IF('Intersection Tables'!$D$27="No",(IF($I$9="3ST",'Intersection Tables'!G37,(IF($I$9="4ST",'Intersection Tables'!J37,'Intersection Tables'!M37)))/100),(IF($I$9="3ST",'Intersection Tables'!P37,(IF($I$9="4ST",+'Intersection Tables'!S37,+'Intersection Tables'!V37)))/100))</f>
        <v>0.19899999999999998</v>
      </c>
      <c r="D57" s="390">
        <f t="shared" ref="D57:D62" si="3">+C57*$D$46</f>
        <v>9.320699847803654E-2</v>
      </c>
      <c r="E57" s="391"/>
      <c r="F57" s="390">
        <f>IF('Intersection Tables'!$D$27="No",(IF($I$9="3ST",'Intersection Tables'!E37,(IF($I$9="4ST",'Intersection Tables'!H37,'Intersection Tables'!K37)))/100),(IF($I$9="3ST",'Intersection Tables'!N37,(IF($I$9="4ST",+'Intersection Tables'!Q37,+'Intersection Tables'!T37)))/100))</f>
        <v>0.23399999999999999</v>
      </c>
      <c r="G57" s="552"/>
      <c r="H57" s="390">
        <f t="shared" ref="H57:H62" si="4">+$H$46*F57</f>
        <v>3.6716063370318019E-2</v>
      </c>
      <c r="I57" s="391"/>
      <c r="J57" s="390">
        <f>IF('Intersection Tables'!$D$27="No",(IF($I$9="3ST",'Intersection Tables'!F37,(IF($I$9="4ST",'Intersection Tables'!I37,'Intersection Tables'!L37)))/100),(IF($I$9="3ST",'Intersection Tables'!O37,(IF($I$9="4ST",+'Intersection Tables'!R37,+'Intersection Tables'!U37)))/100))</f>
        <v>0.182</v>
      </c>
      <c r="K57" s="552"/>
      <c r="L57" s="390">
        <f t="shared" ref="L57:L62" si="5">+$L$46*J57</f>
        <v>5.6687653395963634E-2</v>
      </c>
      <c r="M57" s="392"/>
    </row>
    <row r="58" spans="1:13">
      <c r="A58" s="290" t="s">
        <v>112</v>
      </c>
      <c r="B58" s="291"/>
      <c r="C58" s="13">
        <f>IF('Intersection Tables'!$D$27="No",(IF($I$9="3ST",'Intersection Tables'!G38,(IF($I$9="4ST",'Intersection Tables'!J38,'Intersection Tables'!M38)))/100),(IF($I$9="3ST",'Intersection Tables'!P38,(IF($I$9="4ST",+'Intersection Tables'!S38,+'Intersection Tables'!V38)))/100))</f>
        <v>3.0000000000000001E-3</v>
      </c>
      <c r="D58" s="347">
        <f t="shared" si="3"/>
        <v>1.4051306303221589E-3</v>
      </c>
      <c r="E58" s="348"/>
      <c r="F58" s="347">
        <f>IF('Intersection Tables'!$D$27="No",(IF($I$9="3ST",'Intersection Tables'!E38,(IF($I$9="4ST",'Intersection Tables'!H38,'Intersection Tables'!K38)))/100),(IF($I$9="3ST",'Intersection Tables'!N38,(IF($I$9="4ST",+'Intersection Tables'!Q38,+'Intersection Tables'!T38)))/100))</f>
        <v>0</v>
      </c>
      <c r="G58" s="255"/>
      <c r="H58" s="347">
        <f t="shared" si="4"/>
        <v>0</v>
      </c>
      <c r="I58" s="348"/>
      <c r="J58" s="347">
        <f>IF('Intersection Tables'!$D$27="No",(IF($I$9="3ST",'Intersection Tables'!F38,(IF($I$9="4ST",'Intersection Tables'!I38,'Intersection Tables'!L38)))/100),(IF($I$9="3ST",'Intersection Tables'!O38,(IF($I$9="4ST",+'Intersection Tables'!R38,+'Intersection Tables'!U38)))/100))</f>
        <v>5.0000000000000001E-3</v>
      </c>
      <c r="K58" s="255"/>
      <c r="L58" s="347">
        <f t="shared" si="5"/>
        <v>1.5573531152737264E-3</v>
      </c>
      <c r="M58" s="393"/>
    </row>
    <row r="59" spans="1:13">
      <c r="A59" s="290" t="s">
        <v>113</v>
      </c>
      <c r="B59" s="291"/>
      <c r="C59" s="13">
        <f>IF('Intersection Tables'!$D$27="No",(IF($I$9="3ST",'Intersection Tables'!G39,(IF($I$9="4ST",'Intersection Tables'!J39,'Intersection Tables'!M39)))/100),(IF($I$9="3ST",'Intersection Tables'!P39,(IF($I$9="4ST",+'Intersection Tables'!S39,+'Intersection Tables'!V39)))/100))</f>
        <v>8.199999999999999E-2</v>
      </c>
      <c r="D59" s="347">
        <f t="shared" si="3"/>
        <v>3.8406903895472341E-2</v>
      </c>
      <c r="E59" s="348"/>
      <c r="F59" s="347">
        <f>IF('Intersection Tables'!$D$27="No",(IF($I$9="3ST",'Intersection Tables'!E39,(IF($I$9="4ST",'Intersection Tables'!H39,'Intersection Tables'!K39)))/100),(IF($I$9="3ST",'Intersection Tables'!N39,(IF($I$9="4ST",+'Intersection Tables'!Q39,+'Intersection Tables'!T39)))/100))</f>
        <v>0.10800000000000001</v>
      </c>
      <c r="G59" s="255"/>
      <c r="H59" s="347">
        <f t="shared" si="4"/>
        <v>1.6945875401685243E-2</v>
      </c>
      <c r="I59" s="348"/>
      <c r="J59" s="347">
        <f>IF('Intersection Tables'!$D$27="No",(IF($I$9="3ST",'Intersection Tables'!F39,(IF($I$9="4ST",'Intersection Tables'!I39,'Intersection Tables'!L39)))/100),(IF($I$9="3ST",'Intersection Tables'!O39,(IF($I$9="4ST",+'Intersection Tables'!R39,+'Intersection Tables'!U39)))/100))</f>
        <v>6.8000000000000005E-2</v>
      </c>
      <c r="K59" s="255"/>
      <c r="L59" s="347">
        <f t="shared" si="5"/>
        <v>2.1180002367722679E-2</v>
      </c>
      <c r="M59" s="393"/>
    </row>
    <row r="60" spans="1:13">
      <c r="A60" s="290" t="s">
        <v>114</v>
      </c>
      <c r="B60" s="291"/>
      <c r="C60" s="13">
        <f>IF('Intersection Tables'!$D$27="No",(IF($I$9="3ST",'Intersection Tables'!G40,(IF($I$9="4ST",'Intersection Tables'!J40,'Intersection Tables'!M40)))/100),(IF($I$9="3ST",'Intersection Tables'!P40,(IF($I$9="4ST",+'Intersection Tables'!S40,+'Intersection Tables'!V40)))/100))</f>
        <v>9.0000000000000011E-3</v>
      </c>
      <c r="D60" s="347">
        <f t="shared" si="3"/>
        <v>4.2153918909664774E-3</v>
      </c>
      <c r="E60" s="348"/>
      <c r="F60" s="347">
        <f>IF('Intersection Tables'!$D$27="No",(IF($I$9="3ST",'Intersection Tables'!E40,(IF($I$9="4ST",'Intersection Tables'!H40,'Intersection Tables'!K40)))/100),(IF($I$9="3ST",'Intersection Tables'!N40,(IF($I$9="4ST",+'Intersection Tables'!Q40,+'Intersection Tables'!T40)))/100))</f>
        <v>0</v>
      </c>
      <c r="G60" s="255"/>
      <c r="H60" s="347">
        <f t="shared" si="4"/>
        <v>0</v>
      </c>
      <c r="I60" s="348"/>
      <c r="J60" s="347">
        <f>IF('Intersection Tables'!$D$27="No",(IF($I$9="3ST",'Intersection Tables'!F40,(IF($I$9="4ST",'Intersection Tables'!I40,'Intersection Tables'!L40)))/100),(IF($I$9="3ST",'Intersection Tables'!O40,(IF($I$9="4ST",+'Intersection Tables'!R40,+'Intersection Tables'!U40)))/100))</f>
        <v>1.3999999999999999E-2</v>
      </c>
      <c r="K60" s="255"/>
      <c r="L60" s="347">
        <f t="shared" si="5"/>
        <v>4.360588722766433E-3</v>
      </c>
      <c r="M60" s="393"/>
    </row>
    <row r="61" spans="1:13">
      <c r="A61" s="290" t="s">
        <v>115</v>
      </c>
      <c r="B61" s="291"/>
      <c r="C61" s="13">
        <f>IF('Intersection Tables'!$D$27="No",(IF($I$9="3ST",'Intersection Tables'!G41,(IF($I$9="4ST",'Intersection Tables'!J41,'Intersection Tables'!M41)))/100),(IF($I$9="3ST",'Intersection Tables'!P41,(IF($I$9="4ST",+'Intersection Tables'!S41,+'Intersection Tables'!V41)))/100))</f>
        <v>0.29600000000000004</v>
      </c>
      <c r="D61" s="347">
        <f t="shared" si="3"/>
        <v>0.1386395555251197</v>
      </c>
      <c r="E61" s="348"/>
      <c r="F61" s="347">
        <f>IF('Intersection Tables'!$D$27="No",(IF($I$9="3ST",'Intersection Tables'!E41,(IF($I$9="4ST",'Intersection Tables'!H41,'Intersection Tables'!K41)))/100),(IF($I$9="3ST",'Intersection Tables'!N41,(IF($I$9="4ST",+'Intersection Tables'!Q41,+'Intersection Tables'!T41)))/100))</f>
        <v>0.35100000000000003</v>
      </c>
      <c r="G61" s="255"/>
      <c r="H61" s="347">
        <f t="shared" si="4"/>
        <v>5.5074095055477036E-2</v>
      </c>
      <c r="I61" s="348"/>
      <c r="J61" s="347">
        <f>IF('Intersection Tables'!$D$27="No",(IF($I$9="3ST",'Intersection Tables'!F41,(IF($I$9="4ST",'Intersection Tables'!I41,'Intersection Tables'!L41)))/100),(IF($I$9="3ST",'Intersection Tables'!O41,(IF($I$9="4ST",+'Intersection Tables'!R41,+'Intersection Tables'!U41)))/100))</f>
        <v>0.26800000000000002</v>
      </c>
      <c r="K61" s="255"/>
      <c r="L61" s="347">
        <f t="shared" si="5"/>
        <v>8.3474126978671737E-2</v>
      </c>
      <c r="M61" s="393"/>
    </row>
    <row r="62" spans="1:13" ht="13.8" thickBot="1">
      <c r="A62" s="398" t="s">
        <v>148</v>
      </c>
      <c r="B62" s="367"/>
      <c r="C62" s="82">
        <f>IF('Intersection Tables'!$D$27="No",(IF($I$9="3ST",'Intersection Tables'!G42,(IF($I$9="4ST",'Intersection Tables'!J42,'Intersection Tables'!M42)))/100),(IF($I$9="3ST",'Intersection Tables'!P42,(IF($I$9="4ST",+'Intersection Tables'!S42,+'Intersection Tables'!V42)))/100))</f>
        <v>0.58899999999999997</v>
      </c>
      <c r="D62" s="368">
        <f t="shared" si="3"/>
        <v>0.27587398041991718</v>
      </c>
      <c r="E62" s="370"/>
      <c r="F62" s="368">
        <f>IF('Intersection Tables'!$D$27="No",(IF($I$9="3ST",'Intersection Tables'!E42,(IF($I$9="4ST",'Intersection Tables'!H42,'Intersection Tables'!K42)))/100),(IF($I$9="3ST",'Intersection Tables'!N42,(IF($I$9="4ST",+'Intersection Tables'!Q42,+'Intersection Tables'!T42)))/100))</f>
        <v>0.69300000000000006</v>
      </c>
      <c r="G62" s="259"/>
      <c r="H62" s="368">
        <f t="shared" si="4"/>
        <v>0.1087360338274803</v>
      </c>
      <c r="I62" s="370"/>
      <c r="J62" s="368">
        <f>IF('Intersection Tables'!$D$27="No",(IF($I$9="3ST",'Intersection Tables'!F42,(IF($I$9="4ST",'Intersection Tables'!I42,'Intersection Tables'!L42)))/100),(IF($I$9="3ST",'Intersection Tables'!O42,(IF($I$9="4ST",+'Intersection Tables'!R42,+'Intersection Tables'!U42)))/100))</f>
        <v>0.53700000000000003</v>
      </c>
      <c r="K62" s="259"/>
      <c r="L62" s="368">
        <f t="shared" si="5"/>
        <v>0.16725972458039823</v>
      </c>
      <c r="M62" s="395"/>
    </row>
    <row r="63" spans="1:13">
      <c r="A63" s="51"/>
      <c r="C63" s="1"/>
      <c r="D63" s="64"/>
      <c r="E63" s="64"/>
      <c r="F63" s="83"/>
      <c r="G63" s="44"/>
      <c r="H63" s="64"/>
      <c r="I63" s="64"/>
      <c r="J63" s="64"/>
      <c r="K63" s="64"/>
      <c r="L63" s="64"/>
      <c r="M63" s="64"/>
    </row>
    <row r="64" spans="1:13" ht="13.8" thickBot="1"/>
    <row r="65" spans="1:13" ht="14.4" thickTop="1" thickBot="1">
      <c r="A65" s="279" t="s">
        <v>227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</row>
    <row r="66" spans="1:13">
      <c r="A66" s="360" t="s">
        <v>28</v>
      </c>
      <c r="B66" s="553"/>
      <c r="C66" s="553"/>
      <c r="D66" s="554"/>
      <c r="E66" s="525" t="s">
        <v>29</v>
      </c>
      <c r="F66" s="481"/>
      <c r="G66" s="481"/>
      <c r="H66" s="481"/>
      <c r="I66" s="525" t="s">
        <v>30</v>
      </c>
      <c r="J66" s="481"/>
      <c r="K66" s="481"/>
      <c r="L66" s="481"/>
      <c r="M66" s="487"/>
    </row>
    <row r="67" spans="1:13">
      <c r="A67" s="374" t="s">
        <v>117</v>
      </c>
      <c r="B67" s="549"/>
      <c r="C67" s="549"/>
      <c r="D67" s="549"/>
      <c r="E67" s="459" t="s">
        <v>412</v>
      </c>
      <c r="F67" s="459"/>
      <c r="G67" s="459"/>
      <c r="H67" s="459"/>
      <c r="I67" s="459" t="s">
        <v>251</v>
      </c>
      <c r="J67" s="459"/>
      <c r="K67" s="459"/>
      <c r="L67" s="459"/>
      <c r="M67" s="301"/>
    </row>
    <row r="68" spans="1:13">
      <c r="A68" s="550"/>
      <c r="B68" s="551"/>
      <c r="C68" s="551"/>
      <c r="D68" s="551"/>
      <c r="E68" s="547" t="s">
        <v>228</v>
      </c>
      <c r="F68" s="473"/>
      <c r="G68" s="473"/>
      <c r="H68" s="473"/>
      <c r="I68" s="547" t="s">
        <v>252</v>
      </c>
      <c r="J68" s="548"/>
      <c r="K68" s="548"/>
      <c r="L68" s="473"/>
      <c r="M68" s="477"/>
    </row>
    <row r="69" spans="1:13">
      <c r="A69" s="421" t="s">
        <v>85</v>
      </c>
      <c r="B69" s="544"/>
      <c r="C69" s="544"/>
      <c r="D69" s="473"/>
      <c r="E69" s="347">
        <f>+F34</f>
        <v>1</v>
      </c>
      <c r="F69" s="260"/>
      <c r="G69" s="260"/>
      <c r="H69" s="255"/>
      <c r="I69" s="422">
        <f>+L34</f>
        <v>0.46837687677405299</v>
      </c>
      <c r="J69" s="423"/>
      <c r="K69" s="423"/>
      <c r="L69" s="423"/>
      <c r="M69" s="423"/>
    </row>
    <row r="70" spans="1:13">
      <c r="A70" s="421" t="s">
        <v>86</v>
      </c>
      <c r="B70" s="544"/>
      <c r="C70" s="544"/>
      <c r="D70" s="473"/>
      <c r="E70" s="347">
        <f>+F35</f>
        <v>0.33500000000000002</v>
      </c>
      <c r="F70" s="260"/>
      <c r="G70" s="260"/>
      <c r="H70" s="255"/>
      <c r="I70" s="422">
        <f>+L35</f>
        <v>0.15690625371930778</v>
      </c>
      <c r="J70" s="423"/>
      <c r="K70" s="423"/>
      <c r="L70" s="423"/>
      <c r="M70" s="423"/>
    </row>
    <row r="71" spans="1:13" ht="13.8" thickBot="1">
      <c r="A71" s="413" t="s">
        <v>87</v>
      </c>
      <c r="B71" s="545"/>
      <c r="C71" s="545"/>
      <c r="D71" s="546"/>
      <c r="E71" s="368">
        <f>+F36</f>
        <v>0.66500000000000004</v>
      </c>
      <c r="F71" s="414"/>
      <c r="G71" s="414"/>
      <c r="H71" s="259"/>
      <c r="I71" s="415">
        <f>+L36</f>
        <v>0.31147062305474527</v>
      </c>
      <c r="J71" s="416"/>
      <c r="K71" s="416"/>
      <c r="L71" s="416"/>
      <c r="M71" s="416"/>
    </row>
    <row r="77" spans="1:13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</row>
    <row r="78" spans="1:13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</row>
    <row r="79" spans="1:13">
      <c r="A79" s="71"/>
      <c r="B79" s="71"/>
      <c r="C79" s="71"/>
      <c r="D79" s="62"/>
      <c r="G79" s="62"/>
      <c r="H79" s="62"/>
      <c r="I79" s="62"/>
      <c r="J79" s="72"/>
      <c r="K79" s="72"/>
      <c r="L79" s="62"/>
      <c r="M79" s="62"/>
    </row>
    <row r="80" spans="1:13">
      <c r="A80" s="73"/>
      <c r="B80" s="73"/>
      <c r="C80" s="73"/>
      <c r="D80" s="64"/>
      <c r="E80" s="1"/>
      <c r="F80" s="1"/>
      <c r="G80" s="64"/>
      <c r="H80" s="1"/>
      <c r="I80" s="1"/>
      <c r="J80" s="1"/>
      <c r="K80" s="1"/>
      <c r="L80" s="14"/>
      <c r="M80" s="14"/>
    </row>
    <row r="81" spans="1:13">
      <c r="A81" s="73"/>
      <c r="B81" s="73"/>
      <c r="C81" s="73"/>
      <c r="D81" s="64"/>
      <c r="E81" s="1"/>
      <c r="F81" s="1"/>
      <c r="G81" s="64"/>
      <c r="H81" s="1"/>
      <c r="I81" s="1"/>
      <c r="J81" s="1"/>
      <c r="K81" s="1"/>
      <c r="L81" s="14"/>
      <c r="M81" s="14"/>
    </row>
    <row r="82" spans="1:13">
      <c r="A82" s="73"/>
      <c r="B82" s="73"/>
      <c r="C82" s="73"/>
      <c r="D82" s="64"/>
      <c r="E82" s="1"/>
      <c r="F82" s="1"/>
      <c r="G82" s="64"/>
      <c r="H82" s="1"/>
      <c r="I82" s="1"/>
      <c r="J82" s="1"/>
      <c r="K82" s="1"/>
      <c r="L82" s="14"/>
      <c r="M82" s="14"/>
    </row>
  </sheetData>
  <sheetProtection sheet="1" objects="1" scenarios="1"/>
  <mergeCells count="244">
    <mergeCell ref="A9:F9"/>
    <mergeCell ref="G9:H9"/>
    <mergeCell ref="I9:M9"/>
    <mergeCell ref="A6:C6"/>
    <mergeCell ref="D6:F6"/>
    <mergeCell ref="G6:I6"/>
    <mergeCell ref="J6:M6"/>
    <mergeCell ref="A7:C7"/>
    <mergeCell ref="D7:F7"/>
    <mergeCell ref="G7:I7"/>
    <mergeCell ref="J7:M7"/>
    <mergeCell ref="A8:F8"/>
    <mergeCell ref="G8:H8"/>
    <mergeCell ref="I8:M8"/>
    <mergeCell ref="J4:M4"/>
    <mergeCell ref="A2:M2"/>
    <mergeCell ref="A3:F3"/>
    <mergeCell ref="G3:M3"/>
    <mergeCell ref="A5:C5"/>
    <mergeCell ref="D5:F5"/>
    <mergeCell ref="G5:I5"/>
    <mergeCell ref="J5:M5"/>
    <mergeCell ref="A4:C4"/>
    <mergeCell ref="D4:F4"/>
    <mergeCell ref="G4:I4"/>
    <mergeCell ref="G10:H10"/>
    <mergeCell ref="I10:M10"/>
    <mergeCell ref="A13:F13"/>
    <mergeCell ref="A10:B10"/>
    <mergeCell ref="C10:C11"/>
    <mergeCell ref="A11:B11"/>
    <mergeCell ref="A15:F15"/>
    <mergeCell ref="G15:H15"/>
    <mergeCell ref="I15:M15"/>
    <mergeCell ref="K13:L13"/>
    <mergeCell ref="G13:H13"/>
    <mergeCell ref="G11:H11"/>
    <mergeCell ref="I11:M11"/>
    <mergeCell ref="A14:F14"/>
    <mergeCell ref="G14:H14"/>
    <mergeCell ref="I14:M14"/>
    <mergeCell ref="I12:M12"/>
    <mergeCell ref="A12:F12"/>
    <mergeCell ref="G12:H12"/>
    <mergeCell ref="A20:M20"/>
    <mergeCell ref="A17:F17"/>
    <mergeCell ref="G17:H17"/>
    <mergeCell ref="I17:M17"/>
    <mergeCell ref="A16:F16"/>
    <mergeCell ref="G16:H16"/>
    <mergeCell ref="I16:M16"/>
    <mergeCell ref="F44:G45"/>
    <mergeCell ref="H44:I45"/>
    <mergeCell ref="J44:K45"/>
    <mergeCell ref="L22:M22"/>
    <mergeCell ref="D23:E23"/>
    <mergeCell ref="D24:E24"/>
    <mergeCell ref="F22:H22"/>
    <mergeCell ref="C29:D29"/>
    <mergeCell ref="D22:E22"/>
    <mergeCell ref="A36:B36"/>
    <mergeCell ref="C35:D35"/>
    <mergeCell ref="C36:D36"/>
    <mergeCell ref="C34:D34"/>
    <mergeCell ref="A35:B35"/>
    <mergeCell ref="G34:H34"/>
    <mergeCell ref="G35:H35"/>
    <mergeCell ref="A34:B34"/>
    <mergeCell ref="F46:G46"/>
    <mergeCell ref="L21:M21"/>
    <mergeCell ref="F21:H21"/>
    <mergeCell ref="A41:B45"/>
    <mergeCell ref="A40:B40"/>
    <mergeCell ref="D40:E40"/>
    <mergeCell ref="F40:G40"/>
    <mergeCell ref="H40:I40"/>
    <mergeCell ref="J40:K40"/>
    <mergeCell ref="L40:M40"/>
    <mergeCell ref="I30:I31"/>
    <mergeCell ref="C30:D31"/>
    <mergeCell ref="A22:C22"/>
    <mergeCell ref="A23:C23"/>
    <mergeCell ref="A24:C24"/>
    <mergeCell ref="A28:M28"/>
    <mergeCell ref="I26:K26"/>
    <mergeCell ref="L29:M29"/>
    <mergeCell ref="I22:K22"/>
    <mergeCell ref="I23:K23"/>
    <mergeCell ref="I24:K24"/>
    <mergeCell ref="J34:K34"/>
    <mergeCell ref="J35:K35"/>
    <mergeCell ref="J41:K43"/>
    <mergeCell ref="A53:B53"/>
    <mergeCell ref="D53:E53"/>
    <mergeCell ref="F53:G53"/>
    <mergeCell ref="H53:I53"/>
    <mergeCell ref="L49:M49"/>
    <mergeCell ref="L44:M45"/>
    <mergeCell ref="A47:B47"/>
    <mergeCell ref="D47:E47"/>
    <mergeCell ref="F47:G47"/>
    <mergeCell ref="H47:I47"/>
    <mergeCell ref="J47:K47"/>
    <mergeCell ref="L47:M47"/>
    <mergeCell ref="A50:B50"/>
    <mergeCell ref="D50:E50"/>
    <mergeCell ref="F50:G50"/>
    <mergeCell ref="H50:I50"/>
    <mergeCell ref="J50:K50"/>
    <mergeCell ref="L50:M50"/>
    <mergeCell ref="A46:B46"/>
    <mergeCell ref="D46:E46"/>
    <mergeCell ref="H46:I46"/>
    <mergeCell ref="L46:M46"/>
    <mergeCell ref="C44:C45"/>
    <mergeCell ref="D44:E45"/>
    <mergeCell ref="A51:B51"/>
    <mergeCell ref="D51:E51"/>
    <mergeCell ref="F51:G51"/>
    <mergeCell ref="H51:I51"/>
    <mergeCell ref="J51:K51"/>
    <mergeCell ref="L51:M51"/>
    <mergeCell ref="A52:B52"/>
    <mergeCell ref="D52:E52"/>
    <mergeCell ref="F52:G52"/>
    <mergeCell ref="H52:I52"/>
    <mergeCell ref="J52:K52"/>
    <mergeCell ref="L52:M52"/>
    <mergeCell ref="L55:M55"/>
    <mergeCell ref="A54:B54"/>
    <mergeCell ref="D54:E54"/>
    <mergeCell ref="F54:G54"/>
    <mergeCell ref="H54:I54"/>
    <mergeCell ref="J54:K54"/>
    <mergeCell ref="L54:M54"/>
    <mergeCell ref="D55:E55"/>
    <mergeCell ref="L57:M57"/>
    <mergeCell ref="L23:M23"/>
    <mergeCell ref="L24:M24"/>
    <mergeCell ref="J46:K46"/>
    <mergeCell ref="J49:K49"/>
    <mergeCell ref="J36:K36"/>
    <mergeCell ref="L61:M61"/>
    <mergeCell ref="H59:I59"/>
    <mergeCell ref="J59:K59"/>
    <mergeCell ref="H60:I60"/>
    <mergeCell ref="J60:K60"/>
    <mergeCell ref="L58:M58"/>
    <mergeCell ref="H57:I57"/>
    <mergeCell ref="J57:K57"/>
    <mergeCell ref="L30:M31"/>
    <mergeCell ref="L32:M33"/>
    <mergeCell ref="F23:H23"/>
    <mergeCell ref="F24:H24"/>
    <mergeCell ref="I25:K25"/>
    <mergeCell ref="L25:M25"/>
    <mergeCell ref="J29:K29"/>
    <mergeCell ref="H49:I49"/>
    <mergeCell ref="A56:M56"/>
    <mergeCell ref="F58:G58"/>
    <mergeCell ref="F59:G59"/>
    <mergeCell ref="A66:D66"/>
    <mergeCell ref="E66:H66"/>
    <mergeCell ref="A62:B62"/>
    <mergeCell ref="A61:B61"/>
    <mergeCell ref="D61:E61"/>
    <mergeCell ref="F61:G61"/>
    <mergeCell ref="H61:I61"/>
    <mergeCell ref="A65:M65"/>
    <mergeCell ref="I66:M66"/>
    <mergeCell ref="F62:G62"/>
    <mergeCell ref="D62:E62"/>
    <mergeCell ref="J62:K62"/>
    <mergeCell ref="L62:M62"/>
    <mergeCell ref="H62:I62"/>
    <mergeCell ref="J61:K61"/>
    <mergeCell ref="A60:B60"/>
    <mergeCell ref="D60:E60"/>
    <mergeCell ref="F60:G60"/>
    <mergeCell ref="J58:K58"/>
    <mergeCell ref="A48:M48"/>
    <mergeCell ref="A49:B49"/>
    <mergeCell ref="J53:K53"/>
    <mergeCell ref="L53:M53"/>
    <mergeCell ref="A59:B59"/>
    <mergeCell ref="A57:B57"/>
    <mergeCell ref="D57:E57"/>
    <mergeCell ref="A55:B55"/>
    <mergeCell ref="F55:G55"/>
    <mergeCell ref="H55:I55"/>
    <mergeCell ref="J55:K55"/>
    <mergeCell ref="L59:M59"/>
    <mergeCell ref="F57:G57"/>
    <mergeCell ref="A58:B58"/>
    <mergeCell ref="D58:E58"/>
    <mergeCell ref="L60:M60"/>
    <mergeCell ref="D49:E49"/>
    <mergeCell ref="F49:G49"/>
    <mergeCell ref="D59:E59"/>
    <mergeCell ref="H58:I58"/>
    <mergeCell ref="I70:M70"/>
    <mergeCell ref="I71:M71"/>
    <mergeCell ref="I69:M69"/>
    <mergeCell ref="A69:D69"/>
    <mergeCell ref="A70:D70"/>
    <mergeCell ref="A71:D71"/>
    <mergeCell ref="I68:M68"/>
    <mergeCell ref="A67:D68"/>
    <mergeCell ref="E69:H69"/>
    <mergeCell ref="E70:H70"/>
    <mergeCell ref="E71:H71"/>
    <mergeCell ref="E67:H67"/>
    <mergeCell ref="E68:H68"/>
    <mergeCell ref="I67:M67"/>
    <mergeCell ref="C41:C43"/>
    <mergeCell ref="D41:E43"/>
    <mergeCell ref="F41:G43"/>
    <mergeCell ref="H41:I43"/>
    <mergeCell ref="A39:M39"/>
    <mergeCell ref="L41:M43"/>
    <mergeCell ref="G36:H36"/>
    <mergeCell ref="L36:M36"/>
    <mergeCell ref="L34:M34"/>
    <mergeCell ref="L35:M35"/>
    <mergeCell ref="A21:C21"/>
    <mergeCell ref="A25:C25"/>
    <mergeCell ref="A30:B33"/>
    <mergeCell ref="J30:K33"/>
    <mergeCell ref="F32:F33"/>
    <mergeCell ref="G32:H33"/>
    <mergeCell ref="I32:I33"/>
    <mergeCell ref="G29:H29"/>
    <mergeCell ref="D25:E25"/>
    <mergeCell ref="F25:H25"/>
    <mergeCell ref="A29:B29"/>
    <mergeCell ref="A26:C26"/>
    <mergeCell ref="F26:H26"/>
    <mergeCell ref="E30:E31"/>
    <mergeCell ref="G30:H31"/>
    <mergeCell ref="C32:D33"/>
    <mergeCell ref="E32:E33"/>
    <mergeCell ref="D21:E21"/>
    <mergeCell ref="I21:K21"/>
    <mergeCell ref="F30:F31"/>
  </mergeCells>
  <conditionalFormatting sqref="I10:M10">
    <cfRule type="cellIs" dxfId="26" priority="3" stopIfTrue="1" operator="greaterThan">
      <formula>$E$10</formula>
    </cfRule>
  </conditionalFormatting>
  <conditionalFormatting sqref="I11:M11">
    <cfRule type="cellIs" dxfId="25" priority="2" stopIfTrue="1" operator="greaterThan">
      <formula>$E$11</formula>
    </cfRule>
  </conditionalFormatting>
  <conditionalFormatting sqref="N10:N11">
    <cfRule type="expression" dxfId="24" priority="1">
      <formula>I10&gt;E10</formula>
    </cfRule>
  </conditionalFormatting>
  <dataValidations count="11">
    <dataValidation operator="greaterThan" allowBlank="1" showInputMessage="1" showErrorMessage="1" sqref="K13 I13" xr:uid="{00000000-0002-0000-0400-000000000000}"/>
    <dataValidation type="list" operator="greaterThan" allowBlank="1" showInputMessage="1" showErrorMessage="1" sqref="I9:M9" xr:uid="{00000000-0002-0000-0400-000001000000}">
      <formula1>IType</formula1>
    </dataValidation>
    <dataValidation type="whole" operator="greaterThanOrEqual" allowBlank="1" showInputMessage="1" showErrorMessage="1" sqref="I10:M11" xr:uid="{00000000-0002-0000-0400-000002000000}">
      <formula1>0</formula1>
    </dataValidation>
    <dataValidation allowBlank="1" showInputMessage="1" showErrorMessage="1" errorTitle="Invalid" sqref="L26:M26" xr:uid="{00000000-0002-0000-0400-000003000000}"/>
    <dataValidation type="list" allowBlank="1" showInputMessage="1" showErrorMessage="1" sqref="I14:M14" xr:uid="{00000000-0002-0000-0400-000004000000}">
      <formula1>LApproach</formula1>
    </dataValidation>
    <dataValidation type="list" allowBlank="1" showInputMessage="1" showErrorMessage="1" sqref="I15:M15" xr:uid="{00000000-0002-0000-0400-000005000000}">
      <formula1>RApproach</formula1>
    </dataValidation>
    <dataValidation type="list" allowBlank="1" showInputMessage="1" showErrorMessage="1" sqref="I16:M16" xr:uid="{00000000-0002-0000-0400-000006000000}">
      <formula1>ILight</formula1>
    </dataValidation>
    <dataValidation type="whole" allowBlank="1" showInputMessage="1" showErrorMessage="1" sqref="M13 J13" xr:uid="{00000000-0002-0000-0400-000008000000}">
      <formula1>0</formula1>
      <formula2>90</formula2>
    </dataValidation>
    <dataValidation type="whole" operator="greaterThan" allowBlank="1" showInputMessage="1" showErrorMessage="1" sqref="J7:M7" xr:uid="{00000000-0002-0000-0400-000009000000}">
      <formula1>1990</formula1>
    </dataValidation>
    <dataValidation type="decimal" allowBlank="1" showInputMessage="1" showErrorMessage="1" sqref="I17:M17" xr:uid="{00000000-0002-0000-0400-00000A000000}">
      <formula1>0</formula1>
      <formula2>10</formula2>
    </dataValidation>
    <dataValidation type="list" operator="lessThanOrEqual" allowBlank="1" showInputMessage="1" showErrorMessage="1" sqref="I12:M12" xr:uid="{00000000-0002-0000-0400-00000C000000}">
      <formula1>District</formula1>
    </dataValidation>
  </dataValidations>
  <hyperlinks>
    <hyperlink ref="C10:C11" r:id="rId1" display="Map" xr:uid="{F6A45078-F9DA-4826-9625-41C7DCDED5EE}"/>
  </hyperlinks>
  <pageMargins left="0.7" right="0.7" top="0.75" bottom="0.75" header="0.3" footer="0.3"/>
  <pageSetup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82"/>
  <sheetViews>
    <sheetView workbookViewId="0">
      <selection activeCell="D4" sqref="D4:F4"/>
    </sheetView>
  </sheetViews>
  <sheetFormatPr defaultRowHeight="13.2"/>
  <cols>
    <col min="1" max="1" width="14.33203125" customWidth="1"/>
    <col min="2" max="2" width="15.88671875" customWidth="1"/>
    <col min="3" max="3" width="14.33203125" customWidth="1"/>
    <col min="4" max="4" width="12" customWidth="1"/>
    <col min="5" max="5" width="13.6640625" customWidth="1"/>
    <col min="6" max="6" width="13.33203125" customWidth="1"/>
    <col min="7" max="7" width="10.88671875" customWidth="1"/>
    <col min="8" max="8" width="12.44140625" customWidth="1"/>
    <col min="9" max="9" width="18.44140625" customWidth="1"/>
    <col min="10" max="10" width="15.33203125" customWidth="1"/>
    <col min="11" max="11" width="15.5546875" customWidth="1"/>
    <col min="12" max="12" width="17.44140625" customWidth="1"/>
    <col min="13" max="13" width="14.5546875" customWidth="1"/>
    <col min="15" max="15" width="62" customWidth="1"/>
    <col min="17" max="17" width="11" customWidth="1"/>
    <col min="18" max="18" width="12.44140625" customWidth="1"/>
    <col min="19" max="19" width="10.44140625" customWidth="1"/>
    <col min="20" max="20" width="10.6640625" customWidth="1"/>
    <col min="21" max="21" width="12.44140625" customWidth="1"/>
    <col min="22" max="22" width="10.44140625" customWidth="1"/>
    <col min="23" max="23" width="11.6640625" customWidth="1"/>
    <col min="24" max="24" width="10.44140625" customWidth="1"/>
    <col min="27" max="27" width="10.109375" customWidth="1"/>
  </cols>
  <sheetData>
    <row r="1" spans="1:36" ht="13.8" thickBot="1"/>
    <row r="2" spans="1:36" ht="14.25" customHeight="1" thickTop="1" thickBot="1">
      <c r="A2" s="279" t="s">
        <v>196</v>
      </c>
      <c r="B2" s="280"/>
      <c r="C2" s="280"/>
      <c r="D2" s="281"/>
      <c r="E2" s="281"/>
      <c r="F2" s="281"/>
      <c r="G2" s="281"/>
      <c r="H2" s="281"/>
      <c r="I2" s="281"/>
      <c r="J2" s="281"/>
      <c r="K2" s="281"/>
      <c r="L2" s="281"/>
      <c r="M2" s="281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ht="13.5" customHeight="1">
      <c r="A3" s="250" t="s">
        <v>1</v>
      </c>
      <c r="B3" s="270"/>
      <c r="C3" s="270"/>
      <c r="D3" s="270"/>
      <c r="E3" s="270"/>
      <c r="F3" s="271"/>
      <c r="G3" s="282" t="s">
        <v>19</v>
      </c>
      <c r="H3" s="283"/>
      <c r="I3" s="283"/>
      <c r="J3" s="283"/>
      <c r="K3" s="283"/>
      <c r="L3" s="283"/>
      <c r="M3" s="283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>
      <c r="A4" s="284" t="s">
        <v>2</v>
      </c>
      <c r="B4" s="284"/>
      <c r="C4" s="285"/>
      <c r="D4" s="286" t="s">
        <v>441</v>
      </c>
      <c r="E4" s="287"/>
      <c r="F4" s="288"/>
      <c r="G4" s="289" t="s">
        <v>20</v>
      </c>
      <c r="H4" s="284"/>
      <c r="I4" s="285"/>
      <c r="J4" s="286" t="s">
        <v>287</v>
      </c>
      <c r="K4" s="287"/>
      <c r="L4" s="287"/>
      <c r="M4" s="287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>
      <c r="A5" s="270" t="s">
        <v>3</v>
      </c>
      <c r="B5" s="270"/>
      <c r="C5" s="271"/>
      <c r="D5" s="272" t="s">
        <v>442</v>
      </c>
      <c r="E5" s="273"/>
      <c r="F5" s="274"/>
      <c r="G5" s="598" t="s">
        <v>197</v>
      </c>
      <c r="H5" s="270"/>
      <c r="I5" s="271"/>
      <c r="J5" s="272" t="s">
        <v>418</v>
      </c>
      <c r="K5" s="273"/>
      <c r="L5" s="273"/>
      <c r="M5" s="273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2.75" customHeight="1">
      <c r="A6" s="270" t="s">
        <v>4</v>
      </c>
      <c r="B6" s="270"/>
      <c r="C6" s="271"/>
      <c r="D6" s="276">
        <f ca="1">TODAY()</f>
        <v>45350</v>
      </c>
      <c r="E6" s="277"/>
      <c r="F6" s="278"/>
      <c r="G6" s="275" t="s">
        <v>22</v>
      </c>
      <c r="H6" s="270"/>
      <c r="I6" s="271"/>
      <c r="J6" s="272" t="s">
        <v>288</v>
      </c>
      <c r="K6" s="273"/>
      <c r="L6" s="273"/>
      <c r="M6" s="273"/>
      <c r="AA6" s="51"/>
      <c r="AB6" s="58"/>
      <c r="AC6" s="58"/>
      <c r="AD6" s="58"/>
      <c r="AE6" s="58"/>
      <c r="AF6" s="58"/>
      <c r="AG6" s="58"/>
      <c r="AH6" s="58"/>
      <c r="AI6" s="58"/>
      <c r="AJ6" s="58"/>
    </row>
    <row r="7" spans="1:36">
      <c r="A7" s="270"/>
      <c r="B7" s="270"/>
      <c r="C7" s="271"/>
      <c r="D7" s="275"/>
      <c r="E7" s="270"/>
      <c r="F7" s="271"/>
      <c r="G7" s="275" t="s">
        <v>23</v>
      </c>
      <c r="H7" s="270"/>
      <c r="I7" s="271"/>
      <c r="J7" s="298">
        <v>2022</v>
      </c>
      <c r="K7" s="299"/>
      <c r="L7" s="299"/>
      <c r="M7" s="299"/>
      <c r="AA7" s="51"/>
      <c r="AB7" s="58"/>
      <c r="AC7" s="58"/>
      <c r="AD7" s="58"/>
      <c r="AE7" s="58"/>
      <c r="AF7" s="58"/>
      <c r="AG7" s="58"/>
      <c r="AH7" s="58"/>
      <c r="AI7" s="58"/>
      <c r="AJ7" s="58"/>
    </row>
    <row r="8" spans="1:36">
      <c r="A8" s="300" t="s">
        <v>5</v>
      </c>
      <c r="B8" s="290"/>
      <c r="C8" s="290"/>
      <c r="D8" s="290"/>
      <c r="E8" s="290"/>
      <c r="F8" s="291"/>
      <c r="G8" s="301" t="s">
        <v>24</v>
      </c>
      <c r="H8" s="291"/>
      <c r="I8" s="301" t="s">
        <v>26</v>
      </c>
      <c r="J8" s="290"/>
      <c r="K8" s="290"/>
      <c r="L8" s="290"/>
      <c r="M8" s="290"/>
      <c r="AA8" s="51"/>
      <c r="AB8" s="58"/>
      <c r="AC8" s="58"/>
      <c r="AD8" s="58"/>
      <c r="AE8" s="58"/>
      <c r="AF8" s="58"/>
      <c r="AG8" s="58"/>
      <c r="AH8" s="58"/>
      <c r="AI8" s="58"/>
      <c r="AJ8" s="58"/>
    </row>
    <row r="9" spans="1:36" ht="13.8" thickBot="1">
      <c r="A9" s="309" t="s">
        <v>198</v>
      </c>
      <c r="B9" s="290"/>
      <c r="C9" s="290"/>
      <c r="D9" s="290"/>
      <c r="E9" s="290"/>
      <c r="F9" s="291"/>
      <c r="G9" s="292" t="s">
        <v>25</v>
      </c>
      <c r="H9" s="285"/>
      <c r="I9" s="599" t="s">
        <v>208</v>
      </c>
      <c r="J9" s="600"/>
      <c r="K9" s="600"/>
      <c r="L9" s="600"/>
      <c r="M9" s="600"/>
      <c r="N9" s="146" t="str">
        <f>IF($I$9="3ST","Unsignalized three-leg (stop control on minor-road approaches)",IF($I$9="4ST","Unsignalized four-leg (stop control on minor-road approaches)","Signalized four-leg"))</f>
        <v>Signalized four-leg</v>
      </c>
      <c r="AA9" s="51"/>
      <c r="AB9" s="58"/>
      <c r="AC9" s="58"/>
      <c r="AD9" s="58"/>
      <c r="AE9" s="58"/>
      <c r="AF9" s="58"/>
      <c r="AG9" s="58"/>
      <c r="AH9" s="58"/>
      <c r="AI9" s="58"/>
      <c r="AJ9" s="58"/>
    </row>
    <row r="10" spans="1:36" ht="16.2" thickBot="1">
      <c r="A10" s="309" t="s">
        <v>199</v>
      </c>
      <c r="B10" s="592"/>
      <c r="C10" s="593" t="s">
        <v>532</v>
      </c>
      <c r="D10" s="140" t="s">
        <v>428</v>
      </c>
      <c r="E10" s="141">
        <f>IF($I$9="3ST",19500,IF($I$9="4ST",14700,25200))</f>
        <v>25200</v>
      </c>
      <c r="F10" s="142" t="s">
        <v>533</v>
      </c>
      <c r="G10" s="295" t="s">
        <v>25</v>
      </c>
      <c r="H10" s="291"/>
      <c r="I10" s="296">
        <v>10000</v>
      </c>
      <c r="J10" s="297"/>
      <c r="K10" s="297"/>
      <c r="L10" s="297"/>
      <c r="M10" s="297"/>
      <c r="N10" s="143" t="str">
        <f>IF(I10&gt;E10,"AADT out of range","AADT OK")</f>
        <v>AADT OK</v>
      </c>
      <c r="AA10" s="86"/>
    </row>
    <row r="11" spans="1:36" ht="16.2" thickBot="1">
      <c r="A11" s="309" t="s">
        <v>200</v>
      </c>
      <c r="B11" s="592"/>
      <c r="C11" s="594"/>
      <c r="D11" s="140" t="s">
        <v>428</v>
      </c>
      <c r="E11" s="141">
        <f>IF($I$9="3ST",4300,IF($I$9="4ST",3500,12500))</f>
        <v>12500</v>
      </c>
      <c r="F11" s="142" t="s">
        <v>533</v>
      </c>
      <c r="G11" s="295" t="s">
        <v>25</v>
      </c>
      <c r="H11" s="291"/>
      <c r="I11" s="296">
        <v>2000</v>
      </c>
      <c r="J11" s="297"/>
      <c r="K11" s="297"/>
      <c r="L11" s="297"/>
      <c r="M11" s="297"/>
      <c r="N11" s="143" t="str">
        <f>IF(I11&gt;E11,"AADT out of range","AADT OK")</f>
        <v>AADT OK</v>
      </c>
    </row>
    <row r="12" spans="1:36">
      <c r="A12" s="404" t="s">
        <v>517</v>
      </c>
      <c r="B12" s="404"/>
      <c r="C12" s="404"/>
      <c r="D12" s="404"/>
      <c r="E12" s="404"/>
      <c r="F12" s="405"/>
      <c r="G12" s="295" t="s">
        <v>25</v>
      </c>
      <c r="H12" s="291"/>
      <c r="I12" s="595" t="s">
        <v>477</v>
      </c>
      <c r="J12" s="311"/>
      <c r="K12" s="311"/>
      <c r="L12" s="311"/>
      <c r="M12" s="311"/>
      <c r="N12" s="143"/>
    </row>
    <row r="13" spans="1:36">
      <c r="A13" s="590" t="s">
        <v>201</v>
      </c>
      <c r="B13" s="590"/>
      <c r="C13" s="590"/>
      <c r="D13" s="590"/>
      <c r="E13" s="590"/>
      <c r="F13" s="591"/>
      <c r="G13" s="304">
        <v>0</v>
      </c>
      <c r="H13" s="291"/>
      <c r="I13" s="136" t="s">
        <v>230</v>
      </c>
      <c r="J13" s="212">
        <v>0</v>
      </c>
      <c r="K13" s="596" t="s">
        <v>231</v>
      </c>
      <c r="L13" s="597"/>
      <c r="M13" s="212">
        <v>0</v>
      </c>
    </row>
    <row r="14" spans="1:36">
      <c r="A14" s="309" t="s">
        <v>202</v>
      </c>
      <c r="B14" s="290"/>
      <c r="C14" s="290"/>
      <c r="D14" s="290"/>
      <c r="E14" s="290"/>
      <c r="F14" s="291"/>
      <c r="G14" s="303">
        <v>0</v>
      </c>
      <c r="H14" s="291"/>
      <c r="I14" s="310">
        <v>2</v>
      </c>
      <c r="J14" s="311"/>
      <c r="K14" s="311"/>
      <c r="L14" s="311"/>
      <c r="M14" s="311"/>
      <c r="N14" s="248" t="str">
        <f>IF(AND(I$9="3ST",I14=4),"Use a maximum value of 3.","")</f>
        <v/>
      </c>
    </row>
    <row r="15" spans="1:36">
      <c r="A15" s="309" t="s">
        <v>203</v>
      </c>
      <c r="B15" s="290"/>
      <c r="C15" s="290"/>
      <c r="D15" s="290"/>
      <c r="E15" s="290"/>
      <c r="F15" s="291"/>
      <c r="G15" s="304">
        <v>0</v>
      </c>
      <c r="H15" s="291"/>
      <c r="I15" s="595">
        <v>1</v>
      </c>
      <c r="J15" s="311"/>
      <c r="K15" s="311"/>
      <c r="L15" s="311"/>
      <c r="M15" s="311"/>
      <c r="N15" s="248" t="str">
        <f>IF(AND(I$9="3ST",I15=4),"Use a maximum value of 3.","")</f>
        <v/>
      </c>
      <c r="AA15" s="51"/>
      <c r="AE15" s="58"/>
    </row>
    <row r="16" spans="1:36" ht="13.5" customHeight="1">
      <c r="A16" s="309" t="s">
        <v>204</v>
      </c>
      <c r="B16" s="290"/>
      <c r="C16" s="290"/>
      <c r="D16" s="290"/>
      <c r="E16" s="290"/>
      <c r="F16" s="291"/>
      <c r="G16" s="315" t="s">
        <v>161</v>
      </c>
      <c r="H16" s="291"/>
      <c r="I16" s="310" t="s">
        <v>161</v>
      </c>
      <c r="J16" s="311"/>
      <c r="K16" s="311"/>
      <c r="L16" s="311"/>
      <c r="M16" s="311"/>
    </row>
    <row r="17" spans="1:31" ht="16.2" thickBot="1">
      <c r="A17" s="316" t="s">
        <v>520</v>
      </c>
      <c r="B17" s="317"/>
      <c r="C17" s="317"/>
      <c r="D17" s="317"/>
      <c r="E17" s="317"/>
      <c r="F17" s="318"/>
      <c r="G17" s="319">
        <v>1</v>
      </c>
      <c r="H17" s="320"/>
      <c r="I17" s="321">
        <v>1</v>
      </c>
      <c r="J17" s="322"/>
      <c r="K17" s="322"/>
      <c r="L17" s="322"/>
      <c r="M17" s="322"/>
      <c r="O17" s="147" t="s">
        <v>440</v>
      </c>
      <c r="AA17" s="51"/>
      <c r="AE17" s="58"/>
    </row>
    <row r="18" spans="1:31" ht="13.8" thickTop="1">
      <c r="A18" s="26"/>
      <c r="B18" s="26"/>
      <c r="C18" s="26"/>
      <c r="D18" s="26"/>
      <c r="E18" s="26"/>
      <c r="F18" s="26"/>
      <c r="G18" s="59"/>
      <c r="H18" s="60"/>
      <c r="I18" s="43"/>
      <c r="J18" s="26"/>
      <c r="K18" s="26"/>
      <c r="L18" s="26"/>
      <c r="M18" s="26"/>
    </row>
    <row r="19" spans="1:31" ht="13.8" thickBot="1">
      <c r="G19" s="1"/>
      <c r="I19" s="1"/>
    </row>
    <row r="20" spans="1:31" ht="14.25" customHeight="1" thickTop="1" thickBot="1">
      <c r="A20" s="279" t="s">
        <v>212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</row>
    <row r="21" spans="1:31">
      <c r="A21" s="514" t="s">
        <v>28</v>
      </c>
      <c r="B21" s="515"/>
      <c r="C21" s="515"/>
      <c r="D21" s="532" t="s">
        <v>29</v>
      </c>
      <c r="E21" s="515"/>
      <c r="F21" s="532" t="s">
        <v>30</v>
      </c>
      <c r="G21" s="515"/>
      <c r="H21" s="515"/>
      <c r="I21" s="532" t="s">
        <v>31</v>
      </c>
      <c r="J21" s="515"/>
      <c r="K21" s="515"/>
      <c r="L21" s="532" t="s">
        <v>32</v>
      </c>
      <c r="M21" s="571"/>
    </row>
    <row r="22" spans="1:31">
      <c r="A22" s="577" t="s">
        <v>213</v>
      </c>
      <c r="B22" s="562"/>
      <c r="C22" s="562"/>
      <c r="D22" s="555" t="s">
        <v>215</v>
      </c>
      <c r="E22" s="562"/>
      <c r="F22" s="555" t="s">
        <v>216</v>
      </c>
      <c r="G22" s="562"/>
      <c r="H22" s="562"/>
      <c r="I22" s="555" t="s">
        <v>50</v>
      </c>
      <c r="J22" s="562"/>
      <c r="K22" s="562"/>
      <c r="L22" s="555" t="s">
        <v>217</v>
      </c>
      <c r="M22" s="556"/>
    </row>
    <row r="23" spans="1:31" ht="15.6">
      <c r="A23" s="577" t="s">
        <v>383</v>
      </c>
      <c r="B23" s="562"/>
      <c r="C23" s="562"/>
      <c r="D23" s="555" t="s">
        <v>384</v>
      </c>
      <c r="E23" s="562"/>
      <c r="F23" s="555" t="s">
        <v>385</v>
      </c>
      <c r="G23" s="562"/>
      <c r="H23" s="562"/>
      <c r="I23" s="555" t="s">
        <v>386</v>
      </c>
      <c r="J23" s="562"/>
      <c r="K23" s="562"/>
      <c r="L23" s="555" t="s">
        <v>387</v>
      </c>
      <c r="M23" s="556"/>
    </row>
    <row r="24" spans="1:31" ht="13.8" thickBot="1">
      <c r="A24" s="577" t="s">
        <v>214</v>
      </c>
      <c r="B24" s="562"/>
      <c r="C24" s="562"/>
      <c r="D24" s="555" t="s">
        <v>420</v>
      </c>
      <c r="E24" s="562"/>
      <c r="F24" s="555" t="s">
        <v>421</v>
      </c>
      <c r="G24" s="562"/>
      <c r="H24" s="562"/>
      <c r="I24" s="555" t="s">
        <v>422</v>
      </c>
      <c r="J24" s="562"/>
      <c r="K24" s="562"/>
      <c r="L24" s="557" t="s">
        <v>218</v>
      </c>
      <c r="M24" s="556"/>
    </row>
    <row r="25" spans="1:31" ht="13.8" thickBot="1">
      <c r="A25" s="516">
        <f>IF($I$9="3ST",(EXP(0.004*$J$13)),IF($I$9="4ST",(EXP(0.0054*$J$13)+EXP(0.0054*$M$13))/2,1))</f>
        <v>1</v>
      </c>
      <c r="B25" s="516"/>
      <c r="C25" s="517"/>
      <c r="D25" s="526">
        <f>IF($I$9="3ST",(IF($I$14=0,1,(HLOOKUP($I$14,'Intersection Tables'!$AD$9:$AG$15,3,FALSE)))),(IF($I$9="4ST",(IF($I$14=0,1,(HLOOKUP($I$14,'Intersection Tables'!$AD$9:$AG$15,5,FALSE)))),(IF($I$14=0,1,(HLOOKUP($I$14,'Intersection Tables'!$AD$9:$AG$15,7,FALSE)))))))</f>
        <v>0.67</v>
      </c>
      <c r="E25" s="517"/>
      <c r="F25" s="527">
        <f>IF($I$9="3ST",(IF($I$15=0,1,(HLOOKUP($I$15,'Intersection Tables'!$AD$25:$AG$31,3,FALSE)))),(IF($I$9="4ST",(IF($I$15=0,1,(HLOOKUP($I$15,'Intersection Tables'!$AD$25:$AG$31,5,FALSE)))),(IF($I$15=0,1,(HLOOKUP($I$15,'Intersection Tables'!$AD$25:$AG$31,7,FALSE)))))))</f>
        <v>0.96</v>
      </c>
      <c r="G25" s="528"/>
      <c r="H25" s="396"/>
      <c r="I25" s="526">
        <f>IF(($I$16="Not Present"),1,(1-0.38*(IF('Intersection Tables'!$D$49="No",(VLOOKUP( $I$9,'Intersection Tables'!$B$50:$F$52,4,FALSE)),(VLOOKUP($I$9,'Intersection Tables'!B50:H52,6,FALSE))))))</f>
        <v>1</v>
      </c>
      <c r="J25" s="563"/>
      <c r="K25" s="564"/>
      <c r="L25" s="565">
        <f>+A25*D25*F25*I25</f>
        <v>0.64319999999999999</v>
      </c>
      <c r="M25" s="566"/>
    </row>
    <row r="26" spans="1:31">
      <c r="A26" s="528"/>
      <c r="B26" s="528"/>
      <c r="C26" s="528"/>
      <c r="D26" s="76"/>
      <c r="E26" s="76"/>
      <c r="F26" s="528"/>
      <c r="G26" s="528"/>
      <c r="H26" s="396"/>
      <c r="I26" s="528"/>
      <c r="J26" s="578"/>
      <c r="K26" s="578"/>
    </row>
    <row r="27" spans="1:31" ht="13.8" thickBot="1">
      <c r="A27" s="51"/>
      <c r="C27" s="143"/>
      <c r="G27" s="58"/>
      <c r="H27" s="61"/>
      <c r="I27" s="58"/>
    </row>
    <row r="28" spans="1:31" ht="14.4" thickTop="1" thickBot="1">
      <c r="A28" s="279" t="s">
        <v>219</v>
      </c>
      <c r="B28" s="280"/>
      <c r="C28" s="280"/>
      <c r="D28" s="280"/>
      <c r="E28" s="280"/>
      <c r="F28" s="280"/>
      <c r="G28" s="280"/>
      <c r="H28" s="280"/>
      <c r="I28" s="281"/>
      <c r="J28" s="281"/>
      <c r="K28" s="281"/>
      <c r="L28" s="281"/>
      <c r="M28" s="281"/>
    </row>
    <row r="29" spans="1:31">
      <c r="A29" s="529" t="s">
        <v>28</v>
      </c>
      <c r="B29" s="481"/>
      <c r="C29" s="525" t="s">
        <v>29</v>
      </c>
      <c r="D29" s="481"/>
      <c r="E29" s="70" t="s">
        <v>30</v>
      </c>
      <c r="F29" s="2" t="s">
        <v>31</v>
      </c>
      <c r="G29" s="525" t="s">
        <v>32</v>
      </c>
      <c r="H29" s="481"/>
      <c r="I29" s="70" t="s">
        <v>33</v>
      </c>
      <c r="J29" s="525" t="s">
        <v>34</v>
      </c>
      <c r="K29" s="481"/>
      <c r="L29" s="525" t="s">
        <v>35</v>
      </c>
      <c r="M29" s="487"/>
    </row>
    <row r="30" spans="1:31" ht="16.5" customHeight="1">
      <c r="A30" s="518" t="s">
        <v>75</v>
      </c>
      <c r="B30" s="329"/>
      <c r="C30" s="575" t="s">
        <v>220</v>
      </c>
      <c r="D30" s="576"/>
      <c r="E30" s="530" t="s">
        <v>77</v>
      </c>
      <c r="F30" s="530" t="s">
        <v>78</v>
      </c>
      <c r="G30" s="530" t="s">
        <v>221</v>
      </c>
      <c r="H30" s="531"/>
      <c r="I30" s="530" t="s">
        <v>80</v>
      </c>
      <c r="J30" s="520" t="s">
        <v>521</v>
      </c>
      <c r="K30" s="520"/>
      <c r="L30" s="530" t="s">
        <v>244</v>
      </c>
      <c r="M30" s="560"/>
    </row>
    <row r="31" spans="1:31">
      <c r="A31" s="336"/>
      <c r="B31" s="329"/>
      <c r="C31" s="524"/>
      <c r="D31" s="524"/>
      <c r="E31" s="473"/>
      <c r="F31" s="522"/>
      <c r="G31" s="522"/>
      <c r="H31" s="522"/>
      <c r="I31" s="522"/>
      <c r="J31" s="520"/>
      <c r="K31" s="520"/>
      <c r="L31" s="522"/>
      <c r="M31" s="561"/>
    </row>
    <row r="32" spans="1:31" ht="13.2" customHeight="1">
      <c r="A32" s="336"/>
      <c r="B32" s="329"/>
      <c r="C32" s="521" t="s">
        <v>222</v>
      </c>
      <c r="D32" s="521"/>
      <c r="E32" s="521" t="s">
        <v>223</v>
      </c>
      <c r="F32" s="521" t="s">
        <v>409</v>
      </c>
      <c r="G32" s="523" t="s">
        <v>224</v>
      </c>
      <c r="H32" s="524"/>
      <c r="I32" s="521" t="s">
        <v>388</v>
      </c>
      <c r="J32" s="520"/>
      <c r="K32" s="520"/>
      <c r="L32" s="523" t="s">
        <v>225</v>
      </c>
      <c r="M32" s="354"/>
    </row>
    <row r="33" spans="1:32">
      <c r="A33" s="519"/>
      <c r="B33" s="330"/>
      <c r="C33" s="521"/>
      <c r="D33" s="521"/>
      <c r="E33" s="521"/>
      <c r="F33" s="522"/>
      <c r="G33" s="524"/>
      <c r="H33" s="524"/>
      <c r="I33" s="522"/>
      <c r="J33" s="520"/>
      <c r="K33" s="520"/>
      <c r="L33" s="524"/>
      <c r="M33" s="354"/>
      <c r="Q33" s="46"/>
      <c r="R33" s="46"/>
      <c r="S33" s="46"/>
      <c r="T33" s="46"/>
      <c r="U33" s="46"/>
      <c r="V33" s="46"/>
      <c r="W33" s="46"/>
      <c r="X33" s="46"/>
    </row>
    <row r="34" spans="1:32">
      <c r="A34" s="586" t="s">
        <v>85</v>
      </c>
      <c r="B34" s="587"/>
      <c r="C34" s="585">
        <f>EXP(HLOOKUP(I9&amp;'Intersection Tables'!U6,'Intersection Tables'!R7:X11,MATCH("Constant",'Intersection Tables'!R7:R11,0),FALSE))*I10^HLOOKUP(I9&amp;'Intersection Tables'!U6,'Intersection Tables'!R7:X11,MATCH("AADTmaj",'Intersection Tables'!R7:R11,0),FALSE)*I11^HLOOKUP(I9&amp;'Intersection Tables'!U6,'Intersection Tables'!R7:X11,MATCH("AADTmin",'Intersection Tables'!R7:R11,0),FALSE)</f>
        <v>3.9408038096125706</v>
      </c>
      <c r="D34" s="585"/>
      <c r="E34" s="67">
        <f>HLOOKUP(I9&amp;'Intersection Tables'!U6,'Intersection Tables'!R7:X11,MATCH("Overdispersion",'Intersection Tables'!R7:R11,0),FALSE)</f>
        <v>0.59899999999999998</v>
      </c>
      <c r="F34" s="80">
        <f>IF($I$9="3ST",IF('Intersection Tables'!$D$10="No",'Intersection Tables'!$E$17,'Intersection Tables'!$K$17),(IF($I$9="4ST",(IF('Intersection Tables'!$D$10="No",'Intersection Tables'!$G$17,'Intersection Tables'!$M$17)),(IF('Intersection Tables'!$D$10="No",'Intersection Tables'!$I$17,'Intersection Tables'!$O$17)))))/100</f>
        <v>1</v>
      </c>
      <c r="G34" s="588">
        <f>+C34*F34</f>
        <v>3.9408038096125706</v>
      </c>
      <c r="H34" s="589"/>
      <c r="I34" s="164">
        <f>+$L$25</f>
        <v>0.64319999999999999</v>
      </c>
      <c r="J34" s="579">
        <f>$I$17*VLOOKUP(VLOOKUP($I$12,'Intersection Tables'!$J$47:$K$73,MATCH("Region",'Intersection Tables'!$J$47:$K$47,0),FALSE),'Intersection Tables'!$B$57:$C$61,2,FALSE)</f>
        <v>1</v>
      </c>
      <c r="K34" s="580"/>
      <c r="L34" s="542">
        <f>+G34*I34*J34</f>
        <v>2.5347250103428052</v>
      </c>
      <c r="M34" s="543"/>
      <c r="Q34" s="46"/>
      <c r="R34" s="46"/>
      <c r="S34" s="46"/>
      <c r="T34" s="46"/>
      <c r="U34" s="46"/>
      <c r="V34" s="46"/>
      <c r="W34" s="46"/>
      <c r="X34" s="46"/>
    </row>
    <row r="35" spans="1:32">
      <c r="A35" s="586" t="s">
        <v>86</v>
      </c>
      <c r="B35" s="587"/>
      <c r="C35" s="548" t="s">
        <v>25</v>
      </c>
      <c r="D35" s="473"/>
      <c r="E35" s="68" t="s">
        <v>25</v>
      </c>
      <c r="F35" s="80">
        <f>IF($I$9="3ST",IF('Intersection Tables'!$D$10="No",'Intersection Tables'!$E$15,'Intersection Tables'!$K$15),(IF($I$9="4ST",(IF('Intersection Tables'!$D$10="No",'Intersection Tables'!$G$15,'Intersection Tables'!$M$15)),(IF('Intersection Tables'!$D$10="No",'Intersection Tables'!$I$15,'Intersection Tables'!$O$15)))))/100</f>
        <v>0.32600000000000001</v>
      </c>
      <c r="G35" s="588">
        <f>+C34*F35</f>
        <v>1.2847020419336981</v>
      </c>
      <c r="H35" s="589"/>
      <c r="I35" s="164">
        <f>+$L$25</f>
        <v>0.64319999999999999</v>
      </c>
      <c r="J35" s="579">
        <f>$I$17*VLOOKUP(VLOOKUP($I$12,'Intersection Tables'!$J$47:$K$73,MATCH("Region",'Intersection Tables'!$J$47:$K$47,0),FALSE),'Intersection Tables'!$B$57:$C$61,2,FALSE)</f>
        <v>1</v>
      </c>
      <c r="K35" s="580"/>
      <c r="L35" s="542">
        <f>+G35*I35*J35</f>
        <v>0.82632035337175458</v>
      </c>
      <c r="M35" s="543"/>
      <c r="Q35" s="46"/>
      <c r="R35" s="46"/>
      <c r="S35" s="46"/>
      <c r="T35" s="46"/>
      <c r="U35" s="46"/>
      <c r="V35" s="46"/>
      <c r="W35" s="46"/>
      <c r="X35" s="46"/>
    </row>
    <row r="36" spans="1:32" ht="13.8" thickBot="1">
      <c r="A36" s="582" t="s">
        <v>87</v>
      </c>
      <c r="B36" s="583"/>
      <c r="C36" s="584" t="s">
        <v>25</v>
      </c>
      <c r="D36" s="546"/>
      <c r="E36" s="69" t="s">
        <v>25</v>
      </c>
      <c r="F36" s="81">
        <f>IF($I$9="3ST",IF('Intersection Tables'!$D$10="No",'Intersection Tables'!$E$16,'Intersection Tables'!$K$16),(IF($I$9="4ST",(IF('Intersection Tables'!$D$10="No",'Intersection Tables'!$G$16,'Intersection Tables'!$M$16)),(IF('Intersection Tables'!$D$10="No",'Intersection Tables'!$I$16,'Intersection Tables'!$O$16)))))/100</f>
        <v>0.67400000000000004</v>
      </c>
      <c r="G36" s="538">
        <f>+C34*F36</f>
        <v>2.656101767678873</v>
      </c>
      <c r="H36" s="539"/>
      <c r="I36" s="165">
        <f>+$L$25</f>
        <v>0.64319999999999999</v>
      </c>
      <c r="J36" s="558">
        <f>$I$17*VLOOKUP(VLOOKUP($I$12,'Intersection Tables'!$J$47:$K$73,MATCH("Region",'Intersection Tables'!$J$47:$K$47,0),FALSE),'Intersection Tables'!$B$57:$C$61,2,FALSE)</f>
        <v>1</v>
      </c>
      <c r="K36" s="559"/>
      <c r="L36" s="540">
        <f>+G36*I36*J36</f>
        <v>1.7084046569710511</v>
      </c>
      <c r="M36" s="541"/>
    </row>
    <row r="37" spans="1:32">
      <c r="A37" s="63"/>
      <c r="B37" s="63"/>
      <c r="C37" s="137"/>
      <c r="D37" s="137"/>
      <c r="E37" s="63"/>
      <c r="F37" s="63"/>
      <c r="G37" s="63"/>
      <c r="H37" s="63"/>
      <c r="I37" s="63"/>
      <c r="J37" s="63"/>
      <c r="K37" s="63"/>
      <c r="L37" s="63"/>
      <c r="M37" s="63"/>
      <c r="X37" s="77"/>
      <c r="Y37" s="77"/>
      <c r="Z37" s="77"/>
      <c r="AA37" s="77"/>
      <c r="AB37" s="77"/>
      <c r="AC37" s="77"/>
      <c r="AD37" s="77"/>
      <c r="AE37" s="77"/>
      <c r="AF37" s="77"/>
    </row>
    <row r="38" spans="1:32" ht="13.8" thickBo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X38" s="1"/>
      <c r="AC38" s="1"/>
      <c r="AD38" s="1"/>
      <c r="AE38" s="1"/>
      <c r="AF38" s="1"/>
    </row>
    <row r="39" spans="1:32" ht="14.4" thickTop="1" thickBot="1">
      <c r="A39" s="279" t="s">
        <v>226</v>
      </c>
      <c r="B39" s="280"/>
      <c r="C39" s="280"/>
      <c r="D39" s="280"/>
      <c r="E39" s="280"/>
      <c r="F39" s="280"/>
      <c r="G39" s="280"/>
      <c r="H39" s="356"/>
      <c r="I39" s="356"/>
      <c r="J39" s="356"/>
      <c r="K39" s="356"/>
      <c r="L39" s="356"/>
      <c r="M39" s="356"/>
      <c r="X39" s="15"/>
      <c r="AC39" s="15"/>
      <c r="AD39" s="15"/>
      <c r="AE39" s="15"/>
    </row>
    <row r="40" spans="1:32">
      <c r="A40" s="357" t="s">
        <v>28</v>
      </c>
      <c r="B40" s="358"/>
      <c r="C40" s="16" t="s">
        <v>29</v>
      </c>
      <c r="D40" s="359" t="s">
        <v>30</v>
      </c>
      <c r="E40" s="360"/>
      <c r="F40" s="359" t="s">
        <v>31</v>
      </c>
      <c r="G40" s="360"/>
      <c r="H40" s="361" t="s">
        <v>32</v>
      </c>
      <c r="I40" s="362"/>
      <c r="J40" s="359" t="s">
        <v>33</v>
      </c>
      <c r="K40" s="360"/>
      <c r="L40" s="361" t="s">
        <v>34</v>
      </c>
      <c r="M40" s="363"/>
      <c r="AC40" s="15"/>
      <c r="AD40" s="15"/>
      <c r="AE40" s="15"/>
    </row>
    <row r="41" spans="1:32" ht="13.2" customHeight="1">
      <c r="A41" s="572" t="s">
        <v>89</v>
      </c>
      <c r="B41" s="533"/>
      <c r="C41" s="533" t="s">
        <v>93</v>
      </c>
      <c r="D41" s="533" t="s">
        <v>248</v>
      </c>
      <c r="E41" s="536"/>
      <c r="F41" s="533" t="s">
        <v>91</v>
      </c>
      <c r="G41" s="533"/>
      <c r="H41" s="533" t="s">
        <v>249</v>
      </c>
      <c r="I41" s="533"/>
      <c r="J41" s="533" t="s">
        <v>94</v>
      </c>
      <c r="K41" s="533"/>
      <c r="L41" s="533" t="s">
        <v>250</v>
      </c>
      <c r="M41" s="346"/>
      <c r="AC41" s="15"/>
      <c r="AD41" s="15"/>
      <c r="AE41" s="20"/>
    </row>
    <row r="42" spans="1:32">
      <c r="A42" s="573"/>
      <c r="B42" s="574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537"/>
      <c r="AC42" s="1"/>
      <c r="AD42" s="31"/>
      <c r="AE42" s="17"/>
    </row>
    <row r="43" spans="1:32">
      <c r="A43" s="462"/>
      <c r="B43" s="534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463"/>
    </row>
    <row r="44" spans="1:32" ht="13.2" customHeight="1">
      <c r="A44" s="462"/>
      <c r="B44" s="534"/>
      <c r="C44" s="569" t="s">
        <v>410</v>
      </c>
      <c r="D44" s="567" t="s">
        <v>245</v>
      </c>
      <c r="E44" s="570"/>
      <c r="F44" s="569" t="s">
        <v>411</v>
      </c>
      <c r="G44" s="581"/>
      <c r="H44" s="567" t="s">
        <v>246</v>
      </c>
      <c r="I44" s="570"/>
      <c r="J44" s="569" t="s">
        <v>411</v>
      </c>
      <c r="K44" s="581"/>
      <c r="L44" s="567" t="s">
        <v>247</v>
      </c>
      <c r="M44" s="568"/>
    </row>
    <row r="45" spans="1:32">
      <c r="A45" s="465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463"/>
    </row>
    <row r="46" spans="1:32">
      <c r="A46" s="290" t="s">
        <v>85</v>
      </c>
      <c r="B46" s="291"/>
      <c r="C46" s="13">
        <f>IF('Intersection Tables'!$D$27="No",(IF($I$9="3ST",'Intersection Tables'!G43,(IF($I$9="4ST",'Intersection Tables'!J43,'Intersection Tables'!M43)))/100),(IF($I$9="3ST",'Intersection Tables'!P43,(IF($I$9="4ST",+'Intersection Tables'!S43,+'Intersection Tables'!V43)))/100))</f>
        <v>1.0009999999999999</v>
      </c>
      <c r="D46" s="347">
        <f>+L34</f>
        <v>2.5347250103428052</v>
      </c>
      <c r="E46" s="255"/>
      <c r="F46" s="347">
        <f>IF('Intersection Tables'!$D$27="No",(IF($I$9="3ST",'Intersection Tables'!E43,(IF($I$9="4ST",'Intersection Tables'!H43,'Intersection Tables'!K43)))/100),(IF($I$9="3ST",'Intersection Tables'!N43,(IF($I$9="4ST",+'Intersection Tables'!Q43,+'Intersection Tables'!T43)))/100))</f>
        <v>1</v>
      </c>
      <c r="G46" s="255"/>
      <c r="H46" s="347">
        <f>+L35</f>
        <v>0.82632035337175458</v>
      </c>
      <c r="I46" s="255"/>
      <c r="J46" s="347">
        <f>IF('Intersection Tables'!$D$27="No",(IF($I$9="3ST",'Intersection Tables'!F43,(IF($I$9="4ST",'Intersection Tables'!I43,'Intersection Tables'!L43)))/100),(IF($I$9="3ST",'Intersection Tables'!O43,(IF($I$9="4ST",+'Intersection Tables'!R43,+'Intersection Tables'!U43)))/100))</f>
        <v>0.99900000000000011</v>
      </c>
      <c r="K46" s="255"/>
      <c r="L46" s="347">
        <f>+L36</f>
        <v>1.7084046569710511</v>
      </c>
      <c r="M46" s="260"/>
    </row>
    <row r="47" spans="1:32" ht="13.8" thickBot="1">
      <c r="A47" s="270"/>
      <c r="B47" s="271"/>
      <c r="C47" s="4"/>
      <c r="D47" s="366" t="s">
        <v>99</v>
      </c>
      <c r="E47" s="379"/>
      <c r="F47" s="380"/>
      <c r="G47" s="381"/>
      <c r="H47" s="382" t="s">
        <v>100</v>
      </c>
      <c r="I47" s="381"/>
      <c r="J47" s="383"/>
      <c r="K47" s="259"/>
      <c r="L47" s="382" t="s">
        <v>101</v>
      </c>
      <c r="M47" s="384"/>
    </row>
    <row r="48" spans="1:32" ht="13.8" thickBot="1">
      <c r="A48" s="385" t="s">
        <v>102</v>
      </c>
      <c r="B48" s="386"/>
      <c r="C48" s="386"/>
      <c r="D48" s="386"/>
      <c r="E48" s="386"/>
      <c r="F48" s="386"/>
      <c r="G48" s="386"/>
      <c r="H48" s="387"/>
      <c r="I48" s="387"/>
      <c r="J48" s="387"/>
      <c r="K48" s="387"/>
      <c r="L48" s="387"/>
      <c r="M48" s="387"/>
    </row>
    <row r="49" spans="1:13">
      <c r="A49" s="388" t="s">
        <v>103</v>
      </c>
      <c r="B49" s="389"/>
      <c r="C49" s="13">
        <f>IF('Intersection Tables'!$D$27="No",(IF($I$9="3ST",'Intersection Tables'!G29,(IF($I$9="4ST",'Intersection Tables'!J29,'Intersection Tables'!M29)))/100),(IF($I$9="3ST",'Intersection Tables'!P29,(IF($I$9="4ST",+'Intersection Tables'!S29,+'Intersection Tables'!V29)))/100))</f>
        <v>2E-3</v>
      </c>
      <c r="D49" s="390">
        <f>+C49*$D$46</f>
        <v>5.0694500206856109E-3</v>
      </c>
      <c r="E49" s="391"/>
      <c r="F49" s="390">
        <f>IF('Intersection Tables'!$D$27="No",(IF($I$9="3ST",'Intersection Tables'!E29,(IF($I$9="4ST",'Intersection Tables'!H29,'Intersection Tables'!K29)))/100),(IF($I$9="3ST",'Intersection Tables'!N29,(IF($I$9="4ST",+'Intersection Tables'!Q29,+'Intersection Tables'!T29)))/100))</f>
        <v>0</v>
      </c>
      <c r="G49" s="552"/>
      <c r="H49" s="390">
        <f>+$H$46*F49</f>
        <v>0</v>
      </c>
      <c r="I49" s="391"/>
      <c r="J49" s="390">
        <f>IF('Intersection Tables'!$D$27="No",(IF($I$9="3ST",'Intersection Tables'!F29,(IF($I$9="4ST",'Intersection Tables'!I29,'Intersection Tables'!L29)))/100),(IF($I$9="3ST",'Intersection Tables'!O29,(IF($I$9="4ST",+'Intersection Tables'!R29,+'Intersection Tables'!U29)))/100))</f>
        <v>3.0000000000000001E-3</v>
      </c>
      <c r="K49" s="552"/>
      <c r="L49" s="390">
        <f>+$L$46*J49</f>
        <v>5.1252139709131537E-3</v>
      </c>
      <c r="M49" s="392"/>
    </row>
    <row r="50" spans="1:13">
      <c r="A50" s="290" t="s">
        <v>104</v>
      </c>
      <c r="B50" s="291"/>
      <c r="C50" s="13">
        <f>IF('Intersection Tables'!$D$27="No",(IF($I$9="3ST",'Intersection Tables'!G30,(IF($I$9="4ST",'Intersection Tables'!J30,'Intersection Tables'!M30)))/100),(IF($I$9="3ST",'Intersection Tables'!P30,(IF($I$9="4ST",+'Intersection Tables'!S30,+'Intersection Tables'!V30)))/100))</f>
        <v>1E-3</v>
      </c>
      <c r="D50" s="347">
        <f t="shared" ref="D50:D55" si="0">+C50*$D$46</f>
        <v>2.5347250103428054E-3</v>
      </c>
      <c r="E50" s="348"/>
      <c r="F50" s="347">
        <f>IF('Intersection Tables'!$D$27="No",(IF($I$9="3ST",'Intersection Tables'!E30,(IF($I$9="4ST",'Intersection Tables'!H30,'Intersection Tables'!K30)))/100),(IF($I$9="3ST",'Intersection Tables'!N30,(IF($I$9="4ST",+'Intersection Tables'!Q30,+'Intersection Tables'!T30)))/100))</f>
        <v>2E-3</v>
      </c>
      <c r="G50" s="255"/>
      <c r="H50" s="347">
        <f t="shared" ref="H50:H55" si="1">+$H$46*F50</f>
        <v>1.6526407067435091E-3</v>
      </c>
      <c r="I50" s="348"/>
      <c r="J50" s="347">
        <f>IF('Intersection Tables'!$D$27="No",(IF($I$9="3ST",'Intersection Tables'!F30,(IF($I$9="4ST",'Intersection Tables'!I30,'Intersection Tables'!L30)))/100),(IF($I$9="3ST",'Intersection Tables'!O30,(IF($I$9="4ST",+'Intersection Tables'!R30,+'Intersection Tables'!U30)))/100))</f>
        <v>1E-3</v>
      </c>
      <c r="K50" s="255"/>
      <c r="L50" s="347">
        <f t="shared" ref="L50:L55" si="2">+$L$46*J50</f>
        <v>1.7084046569710511E-3</v>
      </c>
      <c r="M50" s="393"/>
    </row>
    <row r="51" spans="1:13">
      <c r="A51" s="290" t="s">
        <v>105</v>
      </c>
      <c r="B51" s="291"/>
      <c r="C51" s="13">
        <f>IF('Intersection Tables'!$D$27="No",(IF($I$9="3ST",'Intersection Tables'!G31,(IF($I$9="4ST",'Intersection Tables'!J31,'Intersection Tables'!M31)))/100),(IF($I$9="3ST",'Intersection Tables'!P31,(IF($I$9="4ST",+'Intersection Tables'!S31,+'Intersection Tables'!V31)))/100))</f>
        <v>2E-3</v>
      </c>
      <c r="D51" s="347">
        <f t="shared" si="0"/>
        <v>5.0694500206856109E-3</v>
      </c>
      <c r="E51" s="348"/>
      <c r="F51" s="347">
        <f>IF('Intersection Tables'!$D$27="No",(IF($I$9="3ST",'Intersection Tables'!E31,(IF($I$9="4ST",'Intersection Tables'!H31,'Intersection Tables'!K31)))/100),(IF($I$9="3ST",'Intersection Tables'!N31,(IF($I$9="4ST",+'Intersection Tables'!Q31,+'Intersection Tables'!T31)))/100))</f>
        <v>6.0000000000000001E-3</v>
      </c>
      <c r="G51" s="255"/>
      <c r="H51" s="347">
        <f t="shared" si="1"/>
        <v>4.9579221202305278E-3</v>
      </c>
      <c r="I51" s="348"/>
      <c r="J51" s="347">
        <f>IF('Intersection Tables'!$D$27="No",(IF($I$9="3ST",'Intersection Tables'!F31,(IF($I$9="4ST",'Intersection Tables'!I31,'Intersection Tables'!L31)))/100),(IF($I$9="3ST",'Intersection Tables'!O31,(IF($I$9="4ST",+'Intersection Tables'!R31,+'Intersection Tables'!U31)))/100))</f>
        <v>0</v>
      </c>
      <c r="K51" s="255"/>
      <c r="L51" s="347">
        <f t="shared" si="2"/>
        <v>0</v>
      </c>
      <c r="M51" s="393"/>
    </row>
    <row r="52" spans="1:13">
      <c r="A52" s="290" t="s">
        <v>106</v>
      </c>
      <c r="B52" s="291"/>
      <c r="C52" s="13">
        <f>IF('Intersection Tables'!$D$27="No",(IF($I$9="3ST",'Intersection Tables'!G32,(IF($I$9="4ST",'Intersection Tables'!J32,'Intersection Tables'!M32)))/100),(IF($I$9="3ST",'Intersection Tables'!P32,(IF($I$9="4ST",+'Intersection Tables'!S32,+'Intersection Tables'!V32)))/100))</f>
        <v>0</v>
      </c>
      <c r="D52" s="347">
        <f t="shared" si="0"/>
        <v>0</v>
      </c>
      <c r="E52" s="348"/>
      <c r="F52" s="347">
        <f>IF('Intersection Tables'!$D$27="No",(IF($I$9="3ST",'Intersection Tables'!E32,(IF($I$9="4ST",'Intersection Tables'!H32,'Intersection Tables'!K32)))/100),(IF($I$9="3ST",'Intersection Tables'!N32,(IF($I$9="4ST",+'Intersection Tables'!Q32,+'Intersection Tables'!T32)))/100))</f>
        <v>0</v>
      </c>
      <c r="G52" s="255"/>
      <c r="H52" s="347">
        <f t="shared" si="1"/>
        <v>0</v>
      </c>
      <c r="I52" s="348"/>
      <c r="J52" s="347">
        <f>IF('Intersection Tables'!$D$27="No",(IF($I$9="3ST",'Intersection Tables'!F32,(IF($I$9="4ST",'Intersection Tables'!I32,'Intersection Tables'!L32)))/100),(IF($I$9="3ST",'Intersection Tables'!O32,(IF($I$9="4ST",+'Intersection Tables'!R32,+'Intersection Tables'!U32)))/100))</f>
        <v>0</v>
      </c>
      <c r="K52" s="255"/>
      <c r="L52" s="347">
        <f t="shared" si="2"/>
        <v>0</v>
      </c>
      <c r="M52" s="393"/>
    </row>
    <row r="53" spans="1:13">
      <c r="A53" s="290" t="s">
        <v>107</v>
      </c>
      <c r="B53" s="291"/>
      <c r="C53" s="13">
        <f>IF('Intersection Tables'!$D$27="No",(IF($I$9="3ST",'Intersection Tables'!G33,(IF($I$9="4ST",'Intersection Tables'!J33,'Intersection Tables'!M33)))/100),(IF($I$9="3ST",'Intersection Tables'!P33,(IF($I$9="4ST",+'Intersection Tables'!S33,+'Intersection Tables'!V33)))/100))</f>
        <v>5.2000000000000005E-2</v>
      </c>
      <c r="D53" s="347">
        <f t="shared" si="0"/>
        <v>0.13180570053782589</v>
      </c>
      <c r="E53" s="348"/>
      <c r="F53" s="347">
        <f>IF('Intersection Tables'!$D$27="No",(IF($I$9="3ST",'Intersection Tables'!E33,(IF($I$9="4ST",'Intersection Tables'!H33,'Intersection Tables'!K33)))/100),(IF($I$9="3ST",'Intersection Tables'!N33,(IF($I$9="4ST",+'Intersection Tables'!Q33,+'Intersection Tables'!T33)))/100))</f>
        <v>3.7999999999999999E-2</v>
      </c>
      <c r="G53" s="255"/>
      <c r="H53" s="347">
        <f t="shared" si="1"/>
        <v>3.1400173428126676E-2</v>
      </c>
      <c r="I53" s="348"/>
      <c r="J53" s="347">
        <f>IF('Intersection Tables'!$D$27="No",(IF($I$9="3ST",'Intersection Tables'!F33,(IF($I$9="4ST",'Intersection Tables'!I33,'Intersection Tables'!L33)))/100),(IF($I$9="3ST",'Intersection Tables'!O33,(IF($I$9="4ST",+'Intersection Tables'!R33,+'Intersection Tables'!U33)))/100))</f>
        <v>5.7999999999999996E-2</v>
      </c>
      <c r="K53" s="255"/>
      <c r="L53" s="347">
        <f t="shared" si="2"/>
        <v>9.9087470104320965E-2</v>
      </c>
      <c r="M53" s="393"/>
    </row>
    <row r="54" spans="1:13">
      <c r="A54" s="290" t="s">
        <v>108</v>
      </c>
      <c r="B54" s="291"/>
      <c r="C54" s="13">
        <f>IF('Intersection Tables'!$D$27="No",(IF($I$9="3ST",'Intersection Tables'!G34,(IF($I$9="4ST",'Intersection Tables'!J34,'Intersection Tables'!M34)))/100),(IF($I$9="3ST",'Intersection Tables'!P34,(IF($I$9="4ST",+'Intersection Tables'!S34,+'Intersection Tables'!V34)))/100))</f>
        <v>1.2E-2</v>
      </c>
      <c r="D54" s="347">
        <f t="shared" si="0"/>
        <v>3.0416700124113662E-2</v>
      </c>
      <c r="E54" s="348"/>
      <c r="F54" s="347">
        <f>IF('Intersection Tables'!$D$27="No",(IF($I$9="3ST",'Intersection Tables'!E34,(IF($I$9="4ST",'Intersection Tables'!H34,'Intersection Tables'!K34)))/100),(IF($I$9="3ST",'Intersection Tables'!N34,(IF($I$9="4ST",+'Intersection Tables'!Q34,+'Intersection Tables'!T34)))/100))</f>
        <v>1.7000000000000001E-2</v>
      </c>
      <c r="G54" s="255"/>
      <c r="H54" s="347">
        <f t="shared" si="1"/>
        <v>1.4047446007319829E-2</v>
      </c>
      <c r="I54" s="348"/>
      <c r="J54" s="347">
        <f>IF('Intersection Tables'!$D$27="No",(IF($I$9="3ST",'Intersection Tables'!F34,(IF($I$9="4ST",'Intersection Tables'!I34,'Intersection Tables'!L34)))/100),(IF($I$9="3ST",'Intersection Tables'!O34,(IF($I$9="4ST",+'Intersection Tables'!R34,+'Intersection Tables'!U34)))/100))</f>
        <v>9.0000000000000011E-3</v>
      </c>
      <c r="K54" s="255"/>
      <c r="L54" s="347">
        <f t="shared" si="2"/>
        <v>1.5375641912739463E-2</v>
      </c>
      <c r="M54" s="393"/>
    </row>
    <row r="55" spans="1:13" ht="13.8" thickBot="1">
      <c r="A55" s="394" t="s">
        <v>109</v>
      </c>
      <c r="B55" s="367"/>
      <c r="C55" s="13">
        <f>IF('Intersection Tables'!$D$27="No",(IF($I$9="3ST",'Intersection Tables'!G35,(IF($I$9="4ST",'Intersection Tables'!J35,'Intersection Tables'!M35)))/100),(IF($I$9="3ST",'Intersection Tables'!P35,(IF($I$9="4ST",+'Intersection Tables'!S35,+'Intersection Tables'!V35)))/100))</f>
        <v>6.9000000000000006E-2</v>
      </c>
      <c r="D55" s="368">
        <f t="shared" si="0"/>
        <v>0.17489602571365356</v>
      </c>
      <c r="E55" s="370"/>
      <c r="F55" s="368">
        <f>IF('Intersection Tables'!$D$27="No",(IF($I$9="3ST",'Intersection Tables'!E35,(IF($I$9="4ST",'Intersection Tables'!H35,'Intersection Tables'!K35)))/100),(IF($I$9="3ST",'Intersection Tables'!N35,(IF($I$9="4ST",+'Intersection Tables'!Q35,+'Intersection Tables'!T35)))/100))</f>
        <v>6.3E-2</v>
      </c>
      <c r="G55" s="259"/>
      <c r="H55" s="368">
        <f t="shared" si="1"/>
        <v>5.2058182262420538E-2</v>
      </c>
      <c r="I55" s="370"/>
      <c r="J55" s="368">
        <f>IF('Intersection Tables'!$D$27="No",(IF($I$9="3ST",'Intersection Tables'!F35,(IF($I$9="4ST",'Intersection Tables'!I35,'Intersection Tables'!L35)))/100),(IF($I$9="3ST",'Intersection Tables'!O35,(IF($I$9="4ST",+'Intersection Tables'!R35,+'Intersection Tables'!U35)))/100))</f>
        <v>7.1000000000000008E-2</v>
      </c>
      <c r="K55" s="259"/>
      <c r="L55" s="368">
        <f t="shared" si="2"/>
        <v>0.12129673064494464</v>
      </c>
      <c r="M55" s="395"/>
    </row>
    <row r="56" spans="1:13" ht="13.8" thickBot="1">
      <c r="A56" s="385" t="s">
        <v>110</v>
      </c>
      <c r="B56" s="386"/>
      <c r="C56" s="386"/>
      <c r="D56" s="386"/>
      <c r="E56" s="386"/>
      <c r="F56" s="386"/>
      <c r="G56" s="386"/>
      <c r="H56" s="387"/>
      <c r="I56" s="387"/>
      <c r="J56" s="387"/>
      <c r="K56" s="387"/>
      <c r="L56" s="387"/>
      <c r="M56" s="387"/>
    </row>
    <row r="57" spans="1:13">
      <c r="A57" s="396" t="s">
        <v>111</v>
      </c>
      <c r="B57" s="397"/>
      <c r="C57" s="13">
        <f>IF('Intersection Tables'!$D$27="No",(IF($I$9="3ST",'Intersection Tables'!G37,(IF($I$9="4ST",'Intersection Tables'!J37,'Intersection Tables'!M37)))/100),(IF($I$9="3ST",'Intersection Tables'!P37,(IF($I$9="4ST",+'Intersection Tables'!S37,+'Intersection Tables'!V37)))/100))</f>
        <v>0.26400000000000001</v>
      </c>
      <c r="D57" s="390">
        <f t="shared" ref="D57:D62" si="3">+C57*$D$46</f>
        <v>0.66916740273050057</v>
      </c>
      <c r="E57" s="391"/>
      <c r="F57" s="390">
        <f>IF('Intersection Tables'!$D$27="No",(IF($I$9="3ST",'Intersection Tables'!E37,(IF($I$9="4ST",'Intersection Tables'!H37,'Intersection Tables'!K37)))/100),(IF($I$9="3ST",'Intersection Tables'!N37,(IF($I$9="4ST",+'Intersection Tables'!Q37,+'Intersection Tables'!T37)))/100))</f>
        <v>0.38100000000000001</v>
      </c>
      <c r="G57" s="552"/>
      <c r="H57" s="390">
        <f t="shared" ref="H57:H62" si="4">+$H$46*F57</f>
        <v>0.31482805463463848</v>
      </c>
      <c r="I57" s="391"/>
      <c r="J57" s="390">
        <f>IF('Intersection Tables'!$D$27="No",(IF($I$9="3ST",'Intersection Tables'!F37,(IF($I$9="4ST",'Intersection Tables'!I37,'Intersection Tables'!L37)))/100),(IF($I$9="3ST",'Intersection Tables'!O37,(IF($I$9="4ST",+'Intersection Tables'!R37,+'Intersection Tables'!U37)))/100))</f>
        <v>0.20800000000000002</v>
      </c>
      <c r="K57" s="552"/>
      <c r="L57" s="390">
        <f t="shared" ref="L57:L62" si="5">+$L$46*J57</f>
        <v>0.35534816864997865</v>
      </c>
      <c r="M57" s="392"/>
    </row>
    <row r="58" spans="1:13">
      <c r="A58" s="290" t="s">
        <v>112</v>
      </c>
      <c r="B58" s="291"/>
      <c r="C58" s="13">
        <f>IF('Intersection Tables'!$D$27="No",(IF($I$9="3ST",'Intersection Tables'!G38,(IF($I$9="4ST",'Intersection Tables'!J38,'Intersection Tables'!M38)))/100),(IF($I$9="3ST",'Intersection Tables'!P38,(IF($I$9="4ST",+'Intersection Tables'!S38,+'Intersection Tables'!V38)))/100))</f>
        <v>1E-3</v>
      </c>
      <c r="D58" s="347">
        <f t="shared" si="3"/>
        <v>2.5347250103428054E-3</v>
      </c>
      <c r="E58" s="348"/>
      <c r="F58" s="347">
        <f>IF('Intersection Tables'!$D$27="No",(IF($I$9="3ST",'Intersection Tables'!E38,(IF($I$9="4ST",'Intersection Tables'!H38,'Intersection Tables'!K38)))/100),(IF($I$9="3ST",'Intersection Tables'!N38,(IF($I$9="4ST",+'Intersection Tables'!Q38,+'Intersection Tables'!T38)))/100))</f>
        <v>2E-3</v>
      </c>
      <c r="G58" s="255"/>
      <c r="H58" s="347">
        <f t="shared" si="4"/>
        <v>1.6526407067435091E-3</v>
      </c>
      <c r="I58" s="348"/>
      <c r="J58" s="347">
        <f>IF('Intersection Tables'!$D$27="No",(IF($I$9="3ST",'Intersection Tables'!F38,(IF($I$9="4ST",'Intersection Tables'!I38,'Intersection Tables'!L38)))/100),(IF($I$9="3ST",'Intersection Tables'!O38,(IF($I$9="4ST",+'Intersection Tables'!R38,+'Intersection Tables'!U38)))/100))</f>
        <v>1E-3</v>
      </c>
      <c r="K58" s="255"/>
      <c r="L58" s="347">
        <f t="shared" si="5"/>
        <v>1.7084046569710511E-3</v>
      </c>
      <c r="M58" s="393"/>
    </row>
    <row r="59" spans="1:13">
      <c r="A59" s="290" t="s">
        <v>113</v>
      </c>
      <c r="B59" s="291"/>
      <c r="C59" s="13">
        <f>IF('Intersection Tables'!$D$27="No",(IF($I$9="3ST",'Intersection Tables'!G39,(IF($I$9="4ST",'Intersection Tables'!J39,'Intersection Tables'!M39)))/100),(IF($I$9="3ST",'Intersection Tables'!P39,(IF($I$9="4ST",+'Intersection Tables'!S39,+'Intersection Tables'!V39)))/100))</f>
        <v>7.2999999999999995E-2</v>
      </c>
      <c r="D59" s="347">
        <f t="shared" si="3"/>
        <v>0.18503492575502475</v>
      </c>
      <c r="E59" s="348"/>
      <c r="F59" s="347">
        <f>IF('Intersection Tables'!$D$27="No",(IF($I$9="3ST",'Intersection Tables'!E39,(IF($I$9="4ST",'Intersection Tables'!H39,'Intersection Tables'!K39)))/100),(IF($I$9="3ST",'Intersection Tables'!N39,(IF($I$9="4ST",+'Intersection Tables'!Q39,+'Intersection Tables'!T39)))/100))</f>
        <v>0.06</v>
      </c>
      <c r="G59" s="255"/>
      <c r="H59" s="347">
        <f t="shared" si="4"/>
        <v>4.9579221202305269E-2</v>
      </c>
      <c r="I59" s="348"/>
      <c r="J59" s="347">
        <f>IF('Intersection Tables'!$D$27="No",(IF($I$9="3ST",'Intersection Tables'!F39,(IF($I$9="4ST",'Intersection Tables'!I39,'Intersection Tables'!L39)))/100),(IF($I$9="3ST",'Intersection Tables'!O39,(IF($I$9="4ST",+'Intersection Tables'!R39,+'Intersection Tables'!U39)))/100))</f>
        <v>7.8E-2</v>
      </c>
      <c r="K59" s="255"/>
      <c r="L59" s="347">
        <f t="shared" si="5"/>
        <v>0.13325556324374199</v>
      </c>
      <c r="M59" s="393"/>
    </row>
    <row r="60" spans="1:13">
      <c r="A60" s="290" t="s">
        <v>114</v>
      </c>
      <c r="B60" s="291"/>
      <c r="C60" s="13">
        <f>IF('Intersection Tables'!$D$27="No",(IF($I$9="3ST",'Intersection Tables'!G40,(IF($I$9="4ST",'Intersection Tables'!J40,'Intersection Tables'!M40)))/100),(IF($I$9="3ST",'Intersection Tables'!P40,(IF($I$9="4ST",+'Intersection Tables'!S40,+'Intersection Tables'!V40)))/100))</f>
        <v>1.8000000000000002E-2</v>
      </c>
      <c r="D60" s="347">
        <f t="shared" si="3"/>
        <v>4.5625050186170496E-2</v>
      </c>
      <c r="E60" s="348"/>
      <c r="F60" s="347">
        <f>IF('Intersection Tables'!$D$27="No",(IF($I$9="3ST",'Intersection Tables'!E40,(IF($I$9="4ST",'Intersection Tables'!H40,'Intersection Tables'!K40)))/100),(IF($I$9="3ST",'Intersection Tables'!N40,(IF($I$9="4ST",+'Intersection Tables'!Q40,+'Intersection Tables'!T40)))/100))</f>
        <v>4.0000000000000001E-3</v>
      </c>
      <c r="G60" s="255"/>
      <c r="H60" s="347">
        <f t="shared" si="4"/>
        <v>3.3052814134870183E-3</v>
      </c>
      <c r="I60" s="348"/>
      <c r="J60" s="347">
        <f>IF('Intersection Tables'!$D$27="No",(IF($I$9="3ST",'Intersection Tables'!F40,(IF($I$9="4ST",'Intersection Tables'!I40,'Intersection Tables'!L40)))/100),(IF($I$9="3ST",'Intersection Tables'!O40,(IF($I$9="4ST",+'Intersection Tables'!R40,+'Intersection Tables'!U40)))/100))</f>
        <v>2.4E-2</v>
      </c>
      <c r="K60" s="255"/>
      <c r="L60" s="347">
        <f t="shared" si="5"/>
        <v>4.1001711767305229E-2</v>
      </c>
      <c r="M60" s="393"/>
    </row>
    <row r="61" spans="1:13">
      <c r="A61" s="290" t="s">
        <v>115</v>
      </c>
      <c r="B61" s="291"/>
      <c r="C61" s="13">
        <f>IF('Intersection Tables'!$D$27="No",(IF($I$9="3ST",'Intersection Tables'!G41,(IF($I$9="4ST",'Intersection Tables'!J41,'Intersection Tables'!M41)))/100),(IF($I$9="3ST",'Intersection Tables'!P41,(IF($I$9="4ST",+'Intersection Tables'!S41,+'Intersection Tables'!V41)))/100))</f>
        <v>0.57600000000000007</v>
      </c>
      <c r="D61" s="347">
        <f t="shared" si="3"/>
        <v>1.4600016059574559</v>
      </c>
      <c r="E61" s="348"/>
      <c r="F61" s="347">
        <f>IF('Intersection Tables'!$D$27="No",(IF($I$9="3ST",'Intersection Tables'!E41,(IF($I$9="4ST",'Intersection Tables'!H41,'Intersection Tables'!K41)))/100),(IF($I$9="3ST",'Intersection Tables'!N41,(IF($I$9="4ST",+'Intersection Tables'!Q41,+'Intersection Tables'!T41)))/100))</f>
        <v>0.49</v>
      </c>
      <c r="G61" s="255"/>
      <c r="H61" s="347">
        <f t="shared" si="4"/>
        <v>0.40489697315215972</v>
      </c>
      <c r="I61" s="348"/>
      <c r="J61" s="347">
        <f>IF('Intersection Tables'!$D$27="No",(IF($I$9="3ST",'Intersection Tables'!F41,(IF($I$9="4ST",'Intersection Tables'!I41,'Intersection Tables'!L41)))/100),(IF($I$9="3ST",'Intersection Tables'!O41,(IF($I$9="4ST",+'Intersection Tables'!R41,+'Intersection Tables'!U41)))/100))</f>
        <v>0.61699999999999999</v>
      </c>
      <c r="K61" s="255"/>
      <c r="L61" s="347">
        <f t="shared" si="5"/>
        <v>1.0540856733511386</v>
      </c>
      <c r="M61" s="393"/>
    </row>
    <row r="62" spans="1:13" ht="13.8" thickBot="1">
      <c r="A62" s="398" t="s">
        <v>148</v>
      </c>
      <c r="B62" s="367"/>
      <c r="C62" s="82">
        <f>IF('Intersection Tables'!$D$27="No",(IF($I$9="3ST",'Intersection Tables'!G42,(IF($I$9="4ST",'Intersection Tables'!J42,'Intersection Tables'!M42)))/100),(IF($I$9="3ST",'Intersection Tables'!P42,(IF($I$9="4ST",+'Intersection Tables'!S42,+'Intersection Tables'!V42)))/100))</f>
        <v>0.93199999999999994</v>
      </c>
      <c r="D62" s="368">
        <f t="shared" si="3"/>
        <v>2.362363709639494</v>
      </c>
      <c r="E62" s="370"/>
      <c r="F62" s="368">
        <f>IF('Intersection Tables'!$D$27="No",(IF($I$9="3ST",'Intersection Tables'!E42,(IF($I$9="4ST",'Intersection Tables'!H42,'Intersection Tables'!K42)))/100),(IF($I$9="3ST",'Intersection Tables'!N42,(IF($I$9="4ST",+'Intersection Tables'!Q42,+'Intersection Tables'!T42)))/100))</f>
        <v>0.93700000000000006</v>
      </c>
      <c r="G62" s="259"/>
      <c r="H62" s="368">
        <f t="shared" si="4"/>
        <v>0.77426217110933404</v>
      </c>
      <c r="I62" s="370"/>
      <c r="J62" s="368">
        <f>IF('Intersection Tables'!$D$27="No",(IF($I$9="3ST",'Intersection Tables'!F42,(IF($I$9="4ST",'Intersection Tables'!I42,'Intersection Tables'!L42)))/100),(IF($I$9="3ST",'Intersection Tables'!O42,(IF($I$9="4ST",+'Intersection Tables'!R42,+'Intersection Tables'!U42)))/100))</f>
        <v>0.92800000000000016</v>
      </c>
      <c r="K62" s="259"/>
      <c r="L62" s="368">
        <f t="shared" si="5"/>
        <v>1.5853995216691357</v>
      </c>
      <c r="M62" s="395"/>
    </row>
    <row r="63" spans="1:13">
      <c r="A63" s="51"/>
      <c r="C63" s="1"/>
      <c r="D63" s="64"/>
      <c r="E63" s="64"/>
      <c r="F63" s="83"/>
      <c r="G63" s="44"/>
      <c r="H63" s="64"/>
      <c r="I63" s="64"/>
      <c r="J63" s="64"/>
      <c r="K63" s="64"/>
      <c r="L63" s="64"/>
      <c r="M63" s="64"/>
    </row>
    <row r="64" spans="1:13" ht="13.8" thickBot="1"/>
    <row r="65" spans="1:13" ht="14.4" thickTop="1" thickBot="1">
      <c r="A65" s="279" t="s">
        <v>227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</row>
    <row r="66" spans="1:13">
      <c r="A66" s="360" t="s">
        <v>28</v>
      </c>
      <c r="B66" s="553"/>
      <c r="C66" s="553"/>
      <c r="D66" s="554"/>
      <c r="E66" s="525" t="s">
        <v>29</v>
      </c>
      <c r="F66" s="481"/>
      <c r="G66" s="481"/>
      <c r="H66" s="481"/>
      <c r="I66" s="525" t="s">
        <v>30</v>
      </c>
      <c r="J66" s="481"/>
      <c r="K66" s="481"/>
      <c r="L66" s="481"/>
      <c r="M66" s="487"/>
    </row>
    <row r="67" spans="1:13" ht="13.2" customHeight="1">
      <c r="A67" s="374" t="s">
        <v>117</v>
      </c>
      <c r="B67" s="549"/>
      <c r="C67" s="549"/>
      <c r="D67" s="549"/>
      <c r="E67" s="459" t="s">
        <v>412</v>
      </c>
      <c r="F67" s="459"/>
      <c r="G67" s="459"/>
      <c r="H67" s="459"/>
      <c r="I67" s="459" t="s">
        <v>251</v>
      </c>
      <c r="J67" s="459"/>
      <c r="K67" s="459"/>
      <c r="L67" s="459"/>
      <c r="M67" s="301"/>
    </row>
    <row r="68" spans="1:13">
      <c r="A68" s="550"/>
      <c r="B68" s="551"/>
      <c r="C68" s="551"/>
      <c r="D68" s="551"/>
      <c r="E68" s="547" t="s">
        <v>228</v>
      </c>
      <c r="F68" s="473"/>
      <c r="G68" s="473"/>
      <c r="H68" s="473"/>
      <c r="I68" s="547" t="s">
        <v>252</v>
      </c>
      <c r="J68" s="548"/>
      <c r="K68" s="548"/>
      <c r="L68" s="473"/>
      <c r="M68" s="477"/>
    </row>
    <row r="69" spans="1:13">
      <c r="A69" s="421" t="s">
        <v>85</v>
      </c>
      <c r="B69" s="544"/>
      <c r="C69" s="544"/>
      <c r="D69" s="473"/>
      <c r="E69" s="347">
        <f>+F34</f>
        <v>1</v>
      </c>
      <c r="F69" s="260"/>
      <c r="G69" s="260"/>
      <c r="H69" s="255"/>
      <c r="I69" s="422">
        <f>+L34</f>
        <v>2.5347250103428052</v>
      </c>
      <c r="J69" s="423"/>
      <c r="K69" s="423"/>
      <c r="L69" s="423"/>
      <c r="M69" s="423"/>
    </row>
    <row r="70" spans="1:13">
      <c r="A70" s="421" t="s">
        <v>86</v>
      </c>
      <c r="B70" s="544"/>
      <c r="C70" s="544"/>
      <c r="D70" s="473"/>
      <c r="E70" s="347">
        <f>+F35</f>
        <v>0.32600000000000001</v>
      </c>
      <c r="F70" s="260"/>
      <c r="G70" s="260"/>
      <c r="H70" s="255"/>
      <c r="I70" s="422">
        <f>+L35</f>
        <v>0.82632035337175458</v>
      </c>
      <c r="J70" s="423"/>
      <c r="K70" s="423"/>
      <c r="L70" s="423"/>
      <c r="M70" s="423"/>
    </row>
    <row r="71" spans="1:13" ht="13.8" thickBot="1">
      <c r="A71" s="413" t="s">
        <v>87</v>
      </c>
      <c r="B71" s="545"/>
      <c r="C71" s="545"/>
      <c r="D71" s="546"/>
      <c r="E71" s="368">
        <f>+F36</f>
        <v>0.67400000000000004</v>
      </c>
      <c r="F71" s="414"/>
      <c r="G71" s="414"/>
      <c r="H71" s="259"/>
      <c r="I71" s="415">
        <f>+L36</f>
        <v>1.7084046569710511</v>
      </c>
      <c r="J71" s="416"/>
      <c r="K71" s="416"/>
      <c r="L71" s="416"/>
      <c r="M71" s="416"/>
    </row>
    <row r="77" spans="1:13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</row>
    <row r="78" spans="1:13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</row>
    <row r="79" spans="1:13">
      <c r="A79" s="71"/>
      <c r="B79" s="71"/>
      <c r="C79" s="71"/>
      <c r="D79" s="62"/>
      <c r="G79" s="62"/>
      <c r="H79" s="62"/>
      <c r="I79" s="62"/>
      <c r="J79" s="72"/>
      <c r="K79" s="72"/>
      <c r="L79" s="62"/>
      <c r="M79" s="62"/>
    </row>
    <row r="80" spans="1:13">
      <c r="A80" s="73"/>
      <c r="B80" s="73"/>
      <c r="C80" s="73"/>
      <c r="D80" s="64"/>
      <c r="E80" s="1"/>
      <c r="F80" s="1"/>
      <c r="G80" s="64"/>
      <c r="H80" s="1"/>
      <c r="I80" s="1"/>
      <c r="J80" s="1"/>
      <c r="K80" s="1"/>
      <c r="L80" s="14"/>
      <c r="M80" s="14"/>
    </row>
    <row r="81" spans="1:13">
      <c r="A81" s="73"/>
      <c r="B81" s="73"/>
      <c r="C81" s="73"/>
      <c r="D81" s="64"/>
      <c r="E81" s="1"/>
      <c r="F81" s="1"/>
      <c r="G81" s="64"/>
      <c r="H81" s="1"/>
      <c r="I81" s="1"/>
      <c r="J81" s="1"/>
      <c r="K81" s="1"/>
      <c r="L81" s="14"/>
      <c r="M81" s="14"/>
    </row>
    <row r="82" spans="1:13">
      <c r="A82" s="73"/>
      <c r="B82" s="73"/>
      <c r="C82" s="73"/>
      <c r="D82" s="64"/>
      <c r="E82" s="1"/>
      <c r="F82" s="1"/>
      <c r="G82" s="64"/>
      <c r="H82" s="1"/>
      <c r="I82" s="1"/>
      <c r="J82" s="1"/>
      <c r="K82" s="1"/>
      <c r="L82" s="14"/>
      <c r="M82" s="14"/>
    </row>
  </sheetData>
  <sheetProtection sheet="1" objects="1" scenarios="1"/>
  <mergeCells count="244">
    <mergeCell ref="A65:M65"/>
    <mergeCell ref="A66:D66"/>
    <mergeCell ref="E66:H66"/>
    <mergeCell ref="I66:M66"/>
    <mergeCell ref="A67:D68"/>
    <mergeCell ref="E67:H67"/>
    <mergeCell ref="I67:M67"/>
    <mergeCell ref="E68:H68"/>
    <mergeCell ref="I68:M68"/>
    <mergeCell ref="A71:D71"/>
    <mergeCell ref="E71:H71"/>
    <mergeCell ref="I71:M71"/>
    <mergeCell ref="A69:D69"/>
    <mergeCell ref="E69:H69"/>
    <mergeCell ref="I69:M69"/>
    <mergeCell ref="A70:D70"/>
    <mergeCell ref="E70:H70"/>
    <mergeCell ref="I70:M70"/>
    <mergeCell ref="L62:M62"/>
    <mergeCell ref="A61:B61"/>
    <mergeCell ref="D61:E61"/>
    <mergeCell ref="F61:G61"/>
    <mergeCell ref="H61:I61"/>
    <mergeCell ref="J61:K61"/>
    <mergeCell ref="L61:M61"/>
    <mergeCell ref="A60:B60"/>
    <mergeCell ref="D60:E60"/>
    <mergeCell ref="F60:G60"/>
    <mergeCell ref="H60:I60"/>
    <mergeCell ref="J60:K60"/>
    <mergeCell ref="L60:M60"/>
    <mergeCell ref="A62:B62"/>
    <mergeCell ref="D62:E62"/>
    <mergeCell ref="F62:G62"/>
    <mergeCell ref="H62:I62"/>
    <mergeCell ref="J62:K62"/>
    <mergeCell ref="A59:B59"/>
    <mergeCell ref="D59:E59"/>
    <mergeCell ref="F59:G59"/>
    <mergeCell ref="H59:I59"/>
    <mergeCell ref="J59:K59"/>
    <mergeCell ref="L59:M59"/>
    <mergeCell ref="A58:B58"/>
    <mergeCell ref="D58:E58"/>
    <mergeCell ref="F58:G58"/>
    <mergeCell ref="H58:I58"/>
    <mergeCell ref="J58:K58"/>
    <mergeCell ref="L58:M58"/>
    <mergeCell ref="A56:M56"/>
    <mergeCell ref="A57:B57"/>
    <mergeCell ref="D57:E57"/>
    <mergeCell ref="F57:G57"/>
    <mergeCell ref="H57:I57"/>
    <mergeCell ref="J57:K57"/>
    <mergeCell ref="L57:M57"/>
    <mergeCell ref="A55:B55"/>
    <mergeCell ref="D55:E55"/>
    <mergeCell ref="F55:G55"/>
    <mergeCell ref="H55:I55"/>
    <mergeCell ref="J55:K55"/>
    <mergeCell ref="L55:M55"/>
    <mergeCell ref="A54:B54"/>
    <mergeCell ref="D54:E54"/>
    <mergeCell ref="F54:G54"/>
    <mergeCell ref="H54:I54"/>
    <mergeCell ref="J54:K54"/>
    <mergeCell ref="L54:M54"/>
    <mergeCell ref="A53:B53"/>
    <mergeCell ref="D53:E53"/>
    <mergeCell ref="F53:G53"/>
    <mergeCell ref="H53:I53"/>
    <mergeCell ref="J53:K53"/>
    <mergeCell ref="L53:M53"/>
    <mergeCell ref="A52:B52"/>
    <mergeCell ref="D52:E52"/>
    <mergeCell ref="F52:G52"/>
    <mergeCell ref="H52:I52"/>
    <mergeCell ref="J52:K52"/>
    <mergeCell ref="L52:M52"/>
    <mergeCell ref="A51:B51"/>
    <mergeCell ref="D51:E51"/>
    <mergeCell ref="F51:G51"/>
    <mergeCell ref="H51:I51"/>
    <mergeCell ref="J51:K51"/>
    <mergeCell ref="L51:M51"/>
    <mergeCell ref="A50:B50"/>
    <mergeCell ref="D50:E50"/>
    <mergeCell ref="F50:G50"/>
    <mergeCell ref="H50:I50"/>
    <mergeCell ref="J50:K50"/>
    <mergeCell ref="L50:M50"/>
    <mergeCell ref="A48:M48"/>
    <mergeCell ref="A49:B49"/>
    <mergeCell ref="D49:E49"/>
    <mergeCell ref="F49:G49"/>
    <mergeCell ref="H49:I49"/>
    <mergeCell ref="J49:K49"/>
    <mergeCell ref="L49:M49"/>
    <mergeCell ref="A47:B47"/>
    <mergeCell ref="D47:E47"/>
    <mergeCell ref="F47:G47"/>
    <mergeCell ref="H47:I47"/>
    <mergeCell ref="J47:K47"/>
    <mergeCell ref="L47:M47"/>
    <mergeCell ref="A46:B46"/>
    <mergeCell ref="D46:E46"/>
    <mergeCell ref="F46:G46"/>
    <mergeCell ref="H46:I46"/>
    <mergeCell ref="J46:K46"/>
    <mergeCell ref="L46:M46"/>
    <mergeCell ref="L41:M43"/>
    <mergeCell ref="C44:C45"/>
    <mergeCell ref="D44:E45"/>
    <mergeCell ref="F44:G45"/>
    <mergeCell ref="H44:I45"/>
    <mergeCell ref="J44:K45"/>
    <mergeCell ref="L44:M45"/>
    <mergeCell ref="A41:B45"/>
    <mergeCell ref="C41:C43"/>
    <mergeCell ref="D41:E43"/>
    <mergeCell ref="F41:G43"/>
    <mergeCell ref="H41:I43"/>
    <mergeCell ref="J41:K43"/>
    <mergeCell ref="A40:B40"/>
    <mergeCell ref="D40:E40"/>
    <mergeCell ref="F40:G40"/>
    <mergeCell ref="H40:I40"/>
    <mergeCell ref="J40:K40"/>
    <mergeCell ref="L40:M40"/>
    <mergeCell ref="A36:B36"/>
    <mergeCell ref="C36:D36"/>
    <mergeCell ref="G36:H36"/>
    <mergeCell ref="J36:K36"/>
    <mergeCell ref="L36:M36"/>
    <mergeCell ref="A39:M39"/>
    <mergeCell ref="A34:B34"/>
    <mergeCell ref="C34:D34"/>
    <mergeCell ref="G34:H34"/>
    <mergeCell ref="J34:K34"/>
    <mergeCell ref="L34:M34"/>
    <mergeCell ref="A35:B35"/>
    <mergeCell ref="C35:D35"/>
    <mergeCell ref="G35:H35"/>
    <mergeCell ref="J35:K35"/>
    <mergeCell ref="L35:M35"/>
    <mergeCell ref="J30:K33"/>
    <mergeCell ref="L30:M31"/>
    <mergeCell ref="C32:D33"/>
    <mergeCell ref="E32:E33"/>
    <mergeCell ref="F32:F33"/>
    <mergeCell ref="G32:H33"/>
    <mergeCell ref="I32:I33"/>
    <mergeCell ref="L32:M33"/>
    <mergeCell ref="A30:B33"/>
    <mergeCell ref="C30:D31"/>
    <mergeCell ref="E30:E31"/>
    <mergeCell ref="F30:F31"/>
    <mergeCell ref="G30:H31"/>
    <mergeCell ref="I30:I31"/>
    <mergeCell ref="A26:C26"/>
    <mergeCell ref="F26:H26"/>
    <mergeCell ref="I26:K26"/>
    <mergeCell ref="A28:M28"/>
    <mergeCell ref="A29:B29"/>
    <mergeCell ref="C29:D29"/>
    <mergeCell ref="G29:H29"/>
    <mergeCell ref="J29:K29"/>
    <mergeCell ref="L29:M29"/>
    <mergeCell ref="A24:C24"/>
    <mergeCell ref="D24:E24"/>
    <mergeCell ref="F24:H24"/>
    <mergeCell ref="I24:K24"/>
    <mergeCell ref="L24:M24"/>
    <mergeCell ref="A25:C25"/>
    <mergeCell ref="D25:E25"/>
    <mergeCell ref="F25:H25"/>
    <mergeCell ref="I25:K25"/>
    <mergeCell ref="L25:M25"/>
    <mergeCell ref="A22:C22"/>
    <mergeCell ref="D22:E22"/>
    <mergeCell ref="F22:H22"/>
    <mergeCell ref="I22:K22"/>
    <mergeCell ref="L22:M22"/>
    <mergeCell ref="A23:C23"/>
    <mergeCell ref="D23:E23"/>
    <mergeCell ref="F23:H23"/>
    <mergeCell ref="I23:K23"/>
    <mergeCell ref="L23:M23"/>
    <mergeCell ref="A17:F17"/>
    <mergeCell ref="G17:H17"/>
    <mergeCell ref="I17:M17"/>
    <mergeCell ref="A20:M20"/>
    <mergeCell ref="A21:C21"/>
    <mergeCell ref="D21:E21"/>
    <mergeCell ref="F21:H21"/>
    <mergeCell ref="I21:K21"/>
    <mergeCell ref="L21:M21"/>
    <mergeCell ref="A15:F15"/>
    <mergeCell ref="G15:H15"/>
    <mergeCell ref="I15:M15"/>
    <mergeCell ref="A16:F16"/>
    <mergeCell ref="G16:H16"/>
    <mergeCell ref="I16:M16"/>
    <mergeCell ref="G11:H11"/>
    <mergeCell ref="I11:M11"/>
    <mergeCell ref="G13:H13"/>
    <mergeCell ref="K13:L13"/>
    <mergeCell ref="A14:F14"/>
    <mergeCell ref="G14:H14"/>
    <mergeCell ref="I14:M14"/>
    <mergeCell ref="A12:F12"/>
    <mergeCell ref="G12:H12"/>
    <mergeCell ref="I12:M12"/>
    <mergeCell ref="A13:F13"/>
    <mergeCell ref="C10:C11"/>
    <mergeCell ref="A10:B10"/>
    <mergeCell ref="A11:B11"/>
    <mergeCell ref="A9:F9"/>
    <mergeCell ref="G9:H9"/>
    <mergeCell ref="I9:M9"/>
    <mergeCell ref="G10:H10"/>
    <mergeCell ref="I10:M10"/>
    <mergeCell ref="A7:C7"/>
    <mergeCell ref="D7:F7"/>
    <mergeCell ref="G7:I7"/>
    <mergeCell ref="J7:M7"/>
    <mergeCell ref="A8:F8"/>
    <mergeCell ref="G8:H8"/>
    <mergeCell ref="I8:M8"/>
    <mergeCell ref="A5:C5"/>
    <mergeCell ref="D5:F5"/>
    <mergeCell ref="G5:I5"/>
    <mergeCell ref="J5:M5"/>
    <mergeCell ref="A6:C6"/>
    <mergeCell ref="D6:F6"/>
    <mergeCell ref="G6:I6"/>
    <mergeCell ref="J6:M6"/>
    <mergeCell ref="A2:M2"/>
    <mergeCell ref="A3:F3"/>
    <mergeCell ref="G3:M3"/>
    <mergeCell ref="A4:C4"/>
    <mergeCell ref="D4:F4"/>
    <mergeCell ref="G4:I4"/>
    <mergeCell ref="J4:M4"/>
  </mergeCells>
  <conditionalFormatting sqref="I10:M10">
    <cfRule type="cellIs" dxfId="23" priority="3" stopIfTrue="1" operator="greaterThan">
      <formula>$E$10</formula>
    </cfRule>
  </conditionalFormatting>
  <conditionalFormatting sqref="I11:M11">
    <cfRule type="cellIs" dxfId="22" priority="2" stopIfTrue="1" operator="greaterThan">
      <formula>$E$11</formula>
    </cfRule>
  </conditionalFormatting>
  <conditionalFormatting sqref="N10:N11">
    <cfRule type="expression" dxfId="21" priority="1">
      <formula>I10&gt;E10</formula>
    </cfRule>
  </conditionalFormatting>
  <dataValidations disablePrompts="1" count="11">
    <dataValidation type="decimal" allowBlank="1" showInputMessage="1" showErrorMessage="1" sqref="I17:M17" xr:uid="{00000000-0002-0000-0500-000000000000}">
      <formula1>0</formula1>
      <formula2>10</formula2>
    </dataValidation>
    <dataValidation type="whole" operator="greaterThan" allowBlank="1" showInputMessage="1" showErrorMessage="1" sqref="J7:M7" xr:uid="{00000000-0002-0000-0500-000001000000}">
      <formula1>1990</formula1>
    </dataValidation>
    <dataValidation type="whole" allowBlank="1" showInputMessage="1" showErrorMessage="1" sqref="M13 J13" xr:uid="{00000000-0002-0000-0500-000002000000}">
      <formula1>0</formula1>
      <formula2>90</formula2>
    </dataValidation>
    <dataValidation type="list" allowBlank="1" showInputMessage="1" showErrorMessage="1" sqref="I16:M16" xr:uid="{00000000-0002-0000-0500-000004000000}">
      <formula1>ILight</formula1>
    </dataValidation>
    <dataValidation type="list" allowBlank="1" showInputMessage="1" showErrorMessage="1" sqref="I15:M15" xr:uid="{00000000-0002-0000-0500-000005000000}">
      <formula1>RApproach</formula1>
    </dataValidation>
    <dataValidation type="list" allowBlank="1" showInputMessage="1" showErrorMessage="1" sqref="I14:M14" xr:uid="{00000000-0002-0000-0500-000006000000}">
      <formula1>LApproach</formula1>
    </dataValidation>
    <dataValidation allowBlank="1" showInputMessage="1" showErrorMessage="1" errorTitle="Invalid" sqref="L26:M26" xr:uid="{00000000-0002-0000-0500-000007000000}"/>
    <dataValidation type="list" operator="greaterThan" allowBlank="1" showInputMessage="1" showErrorMessage="1" sqref="I9:M9" xr:uid="{00000000-0002-0000-0500-000008000000}">
      <formula1>IType</formula1>
    </dataValidation>
    <dataValidation operator="greaterThan" allowBlank="1" showInputMessage="1" showErrorMessage="1" sqref="K13 I13" xr:uid="{00000000-0002-0000-0500-000009000000}"/>
    <dataValidation type="list" operator="lessThanOrEqual" allowBlank="1" showInputMessage="1" showErrorMessage="1" sqref="I12:M12" xr:uid="{00000000-0002-0000-0500-00000C000000}">
      <formula1>District</formula1>
    </dataValidation>
    <dataValidation type="whole" operator="greaterThanOrEqual" allowBlank="1" showInputMessage="1" showErrorMessage="1" sqref="I10:M11" xr:uid="{B19C7C13-7251-41D6-ACE8-51CF92491EF7}">
      <formula1>0</formula1>
    </dataValidation>
  </dataValidations>
  <hyperlinks>
    <hyperlink ref="C10:C11" r:id="rId1" display="Map" xr:uid="{B0DBEEC5-FBE0-4C6F-8E97-C4DC541D1F3D}"/>
  </hyperlinks>
  <pageMargins left="0.7" right="0.7" top="0.75" bottom="0.75" header="0.3" footer="0.3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3"/>
  <sheetViews>
    <sheetView workbookViewId="0"/>
  </sheetViews>
  <sheetFormatPr defaultRowHeight="13.2"/>
  <cols>
    <col min="2" max="2" width="13.6640625" customWidth="1"/>
    <col min="3" max="3" width="15.6640625" bestFit="1" customWidth="1"/>
    <col min="4" max="17" width="13.6640625" customWidth="1"/>
    <col min="18" max="24" width="15.6640625" customWidth="1"/>
    <col min="25" max="46" width="13.6640625" customWidth="1"/>
  </cols>
  <sheetData>
    <row r="1" spans="1:33">
      <c r="A1" s="175"/>
    </row>
    <row r="2" spans="1:33">
      <c r="B2" s="88" t="s">
        <v>357</v>
      </c>
      <c r="Z2" s="88" t="s">
        <v>358</v>
      </c>
    </row>
    <row r="4" spans="1:33" ht="13.8" thickBot="1"/>
    <row r="5" spans="1:33" ht="27.6" customHeight="1" thickTop="1" thickBot="1">
      <c r="B5" s="488" t="s">
        <v>395</v>
      </c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R5" s="700" t="s">
        <v>456</v>
      </c>
      <c r="S5" s="700"/>
      <c r="T5" s="700"/>
      <c r="U5" s="700"/>
      <c r="V5" s="700"/>
      <c r="W5" s="700"/>
      <c r="X5" s="700"/>
      <c r="Z5" s="444" t="s">
        <v>413</v>
      </c>
      <c r="AA5" s="444"/>
      <c r="AB5" s="444"/>
      <c r="AC5" s="444"/>
      <c r="AD5" s="444"/>
      <c r="AE5" s="633"/>
      <c r="AF5" s="633"/>
      <c r="AG5" s="633"/>
    </row>
    <row r="6" spans="1:33" ht="13.8" thickBot="1"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R6" s="510" t="s">
        <v>195</v>
      </c>
      <c r="S6" s="510"/>
      <c r="T6" s="235" t="s">
        <v>193</v>
      </c>
      <c r="U6" s="701" t="str">
        <f>IF(T6="No"," (HSM)", " (Local)")</f>
        <v xml:space="preserve"> (Local)</v>
      </c>
      <c r="V6" s="702"/>
      <c r="W6" s="702"/>
      <c r="X6" s="702"/>
      <c r="Z6" s="263"/>
      <c r="AA6" s="263"/>
      <c r="AB6" s="263"/>
      <c r="AC6" s="263"/>
      <c r="AD6" s="263"/>
      <c r="AE6" s="489"/>
      <c r="AF6" s="489"/>
      <c r="AG6" s="489"/>
    </row>
    <row r="7" spans="1:33" ht="13.8" customHeight="1">
      <c r="B7" s="430" t="s">
        <v>144</v>
      </c>
      <c r="C7" s="396"/>
      <c r="D7" s="397"/>
      <c r="E7" s="491" t="s">
        <v>168</v>
      </c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R7" s="152"/>
      <c r="S7" s="156" t="s">
        <v>458</v>
      </c>
      <c r="T7" s="156" t="s">
        <v>459</v>
      </c>
      <c r="U7" s="154" t="s">
        <v>460</v>
      </c>
      <c r="V7" s="156" t="s">
        <v>461</v>
      </c>
      <c r="W7" s="156" t="s">
        <v>462</v>
      </c>
      <c r="X7" s="154" t="s">
        <v>463</v>
      </c>
      <c r="Z7" s="262" t="s">
        <v>233</v>
      </c>
      <c r="AA7" s="670"/>
      <c r="AB7" s="672" t="s">
        <v>234</v>
      </c>
      <c r="AC7" s="673"/>
      <c r="AD7" s="672" t="s">
        <v>232</v>
      </c>
      <c r="AE7" s="697"/>
      <c r="AF7" s="697"/>
      <c r="AG7" s="697"/>
    </row>
    <row r="8" spans="1:33" ht="13.8" customHeight="1">
      <c r="B8" s="270"/>
      <c r="C8" s="270"/>
      <c r="D8" s="271"/>
      <c r="E8" s="495" t="s">
        <v>142</v>
      </c>
      <c r="F8" s="614"/>
      <c r="G8" s="614"/>
      <c r="H8" s="300"/>
      <c r="I8" s="300"/>
      <c r="J8" s="496"/>
      <c r="K8" s="495" t="s">
        <v>143</v>
      </c>
      <c r="L8" s="614"/>
      <c r="M8" s="300"/>
      <c r="N8" s="300"/>
      <c r="O8" s="300"/>
      <c r="P8" s="300"/>
      <c r="R8" s="52" t="s">
        <v>443</v>
      </c>
      <c r="S8" s="13">
        <v>-9.86</v>
      </c>
      <c r="T8" s="13">
        <v>-8.56</v>
      </c>
      <c r="U8" s="150">
        <v>-5.13</v>
      </c>
      <c r="V8" s="223">
        <v>-6.0819999999999999</v>
      </c>
      <c r="W8" s="223">
        <v>-6.9779999999999998</v>
      </c>
      <c r="X8" s="224">
        <v>-5.6749999999999998</v>
      </c>
      <c r="Z8" s="492"/>
      <c r="AA8" s="671"/>
      <c r="AB8" s="674"/>
      <c r="AC8" s="493"/>
      <c r="AD8" s="674"/>
      <c r="AE8" s="494"/>
      <c r="AF8" s="494"/>
      <c r="AG8" s="494"/>
    </row>
    <row r="9" spans="1:33">
      <c r="B9" s="270"/>
      <c r="C9" s="270"/>
      <c r="D9" s="271"/>
      <c r="E9" s="471" t="s">
        <v>206</v>
      </c>
      <c r="F9" s="611"/>
      <c r="G9" s="615" t="s">
        <v>207</v>
      </c>
      <c r="H9" s="616"/>
      <c r="I9" s="471" t="s">
        <v>208</v>
      </c>
      <c r="J9" s="611"/>
      <c r="K9" s="471" t="s">
        <v>206</v>
      </c>
      <c r="L9" s="611"/>
      <c r="M9" s="471" t="s">
        <v>207</v>
      </c>
      <c r="N9" s="611"/>
      <c r="O9" s="471" t="s">
        <v>208</v>
      </c>
      <c r="P9" s="616"/>
      <c r="R9" s="52" t="s">
        <v>446</v>
      </c>
      <c r="S9" s="13">
        <v>0.79</v>
      </c>
      <c r="T9" s="13">
        <v>0.6</v>
      </c>
      <c r="U9" s="150">
        <v>0.6</v>
      </c>
      <c r="V9" s="223">
        <v>0.433</v>
      </c>
      <c r="W9" s="223">
        <v>0.42199999999999999</v>
      </c>
      <c r="X9" s="224">
        <v>0.6</v>
      </c>
      <c r="Z9" s="494"/>
      <c r="AA9" s="493"/>
      <c r="AB9" s="674"/>
      <c r="AC9" s="493"/>
      <c r="AD9" s="698">
        <v>1</v>
      </c>
      <c r="AE9" s="663">
        <v>2</v>
      </c>
      <c r="AF9" s="663">
        <v>3</v>
      </c>
      <c r="AG9" s="679">
        <v>4</v>
      </c>
    </row>
    <row r="10" spans="1:33">
      <c r="B10" s="590" t="s">
        <v>195</v>
      </c>
      <c r="C10" s="420"/>
      <c r="D10" s="236" t="s">
        <v>193</v>
      </c>
      <c r="E10" s="612"/>
      <c r="F10" s="613"/>
      <c r="G10" s="617"/>
      <c r="H10" s="617"/>
      <c r="I10" s="560"/>
      <c r="J10" s="613"/>
      <c r="K10" s="612"/>
      <c r="L10" s="613"/>
      <c r="M10" s="612"/>
      <c r="N10" s="613"/>
      <c r="O10" s="560"/>
      <c r="P10" s="617"/>
      <c r="R10" s="52" t="s">
        <v>447</v>
      </c>
      <c r="S10" s="13">
        <v>0.49</v>
      </c>
      <c r="T10" s="13">
        <v>0.61</v>
      </c>
      <c r="U10" s="150">
        <v>0.2</v>
      </c>
      <c r="V10" s="223">
        <v>0.20499999999999999</v>
      </c>
      <c r="W10" s="223">
        <v>0.46800000000000003</v>
      </c>
      <c r="X10" s="224">
        <v>0.2</v>
      </c>
      <c r="Z10" s="617"/>
      <c r="AA10" s="613"/>
      <c r="AB10" s="560"/>
      <c r="AC10" s="613"/>
      <c r="AD10" s="699"/>
      <c r="AE10" s="664"/>
      <c r="AF10" s="664"/>
      <c r="AG10" s="680"/>
    </row>
    <row r="11" spans="1:33" ht="13.8" thickBot="1">
      <c r="B11" s="609" t="s">
        <v>134</v>
      </c>
      <c r="C11" s="609"/>
      <c r="D11" s="452"/>
      <c r="E11" s="499">
        <v>1.7</v>
      </c>
      <c r="F11" s="610"/>
      <c r="G11" s="499">
        <v>1.8</v>
      </c>
      <c r="H11" s="610"/>
      <c r="I11" s="603">
        <v>0.9</v>
      </c>
      <c r="J11" s="604"/>
      <c r="K11" s="504">
        <v>1.2</v>
      </c>
      <c r="L11" s="607"/>
      <c r="M11" s="504">
        <v>1.1000000000000001</v>
      </c>
      <c r="N11" s="607"/>
      <c r="O11" s="504">
        <v>0.5</v>
      </c>
      <c r="P11" s="608"/>
      <c r="R11" s="54" t="s">
        <v>448</v>
      </c>
      <c r="S11" s="82">
        <v>0.54</v>
      </c>
      <c r="T11" s="82">
        <v>0.24</v>
      </c>
      <c r="U11" s="130">
        <v>0.11</v>
      </c>
      <c r="V11" s="218">
        <v>0.40500000000000003</v>
      </c>
      <c r="W11" s="218">
        <v>0.46899999999999997</v>
      </c>
      <c r="X11" s="225">
        <v>0.59899999999999998</v>
      </c>
      <c r="Z11" s="678" t="s">
        <v>235</v>
      </c>
      <c r="AA11" s="611"/>
      <c r="AB11" s="692" t="s">
        <v>414</v>
      </c>
      <c r="AC11" s="611"/>
      <c r="AD11" s="693">
        <v>0.56000000000000005</v>
      </c>
      <c r="AE11" s="666">
        <v>0.31</v>
      </c>
      <c r="AF11" s="665">
        <v>0.31</v>
      </c>
      <c r="AG11" s="675">
        <v>0.31</v>
      </c>
    </row>
    <row r="12" spans="1:33">
      <c r="B12" s="601" t="s">
        <v>173</v>
      </c>
      <c r="C12" s="601"/>
      <c r="D12" s="602"/>
      <c r="E12" s="603">
        <v>4</v>
      </c>
      <c r="F12" s="604"/>
      <c r="G12" s="603">
        <v>4.3</v>
      </c>
      <c r="H12" s="604"/>
      <c r="I12" s="603">
        <v>2.1</v>
      </c>
      <c r="J12" s="604"/>
      <c r="K12" s="605">
        <v>3.9</v>
      </c>
      <c r="L12" s="606"/>
      <c r="M12" s="605">
        <v>7.4</v>
      </c>
      <c r="N12" s="606"/>
      <c r="O12" s="605">
        <v>4.5</v>
      </c>
      <c r="P12" s="456"/>
      <c r="Z12" s="617"/>
      <c r="AA12" s="613"/>
      <c r="AB12" s="560"/>
      <c r="AC12" s="613"/>
      <c r="AD12" s="694"/>
      <c r="AE12" s="666"/>
      <c r="AF12" s="666"/>
      <c r="AG12" s="579"/>
    </row>
    <row r="13" spans="1:33">
      <c r="B13" s="601" t="s">
        <v>172</v>
      </c>
      <c r="C13" s="601"/>
      <c r="D13" s="602"/>
      <c r="E13" s="603">
        <v>16.600000000000001</v>
      </c>
      <c r="F13" s="604"/>
      <c r="G13" s="603">
        <v>16.2</v>
      </c>
      <c r="H13" s="604"/>
      <c r="I13" s="603">
        <v>10.5</v>
      </c>
      <c r="J13" s="604"/>
      <c r="K13" s="605">
        <v>17.8</v>
      </c>
      <c r="L13" s="606"/>
      <c r="M13" s="605">
        <v>14.2</v>
      </c>
      <c r="N13" s="606"/>
      <c r="O13" s="605">
        <v>11.1</v>
      </c>
      <c r="P13" s="456"/>
      <c r="Z13" s="686" t="s">
        <v>415</v>
      </c>
      <c r="AA13" s="687"/>
      <c r="AB13" s="692" t="s">
        <v>414</v>
      </c>
      <c r="AC13" s="611"/>
      <c r="AD13" s="693">
        <v>0.72</v>
      </c>
      <c r="AE13" s="666">
        <v>0.52</v>
      </c>
      <c r="AF13" s="665">
        <v>0.52</v>
      </c>
      <c r="AG13" s="675">
        <v>0.52</v>
      </c>
    </row>
    <row r="14" spans="1:33" ht="13.8" thickBot="1">
      <c r="B14" s="626" t="s">
        <v>174</v>
      </c>
      <c r="C14" s="626"/>
      <c r="D14" s="627"/>
      <c r="E14" s="620">
        <v>19.2</v>
      </c>
      <c r="F14" s="621"/>
      <c r="G14" s="620">
        <v>20.8</v>
      </c>
      <c r="H14" s="621"/>
      <c r="I14" s="620">
        <v>20.5</v>
      </c>
      <c r="J14" s="621"/>
      <c r="K14" s="623">
        <v>10.6</v>
      </c>
      <c r="L14" s="625"/>
      <c r="M14" s="623">
        <v>12.5</v>
      </c>
      <c r="N14" s="625"/>
      <c r="O14" s="623">
        <v>16.5</v>
      </c>
      <c r="P14" s="624"/>
      <c r="Z14" s="688"/>
      <c r="AA14" s="689"/>
      <c r="AB14" s="560"/>
      <c r="AC14" s="613"/>
      <c r="AD14" s="694"/>
      <c r="AE14" s="666"/>
      <c r="AF14" s="666"/>
      <c r="AG14" s="579"/>
    </row>
    <row r="15" spans="1:33" ht="14.4" thickTop="1" thickBot="1">
      <c r="B15" s="630" t="s">
        <v>175</v>
      </c>
      <c r="C15" s="630"/>
      <c r="D15" s="631"/>
      <c r="E15" s="618">
        <f>SUM(E11:E14)</f>
        <v>41.5</v>
      </c>
      <c r="F15" s="619"/>
      <c r="G15" s="618">
        <f>SUM(G11:G14)</f>
        <v>43.099999999999994</v>
      </c>
      <c r="H15" s="619"/>
      <c r="I15" s="618">
        <f>SUM(I11:I14)</f>
        <v>34</v>
      </c>
      <c r="J15" s="619"/>
      <c r="K15" s="618">
        <f>SUM(K11:K14)</f>
        <v>33.5</v>
      </c>
      <c r="L15" s="619"/>
      <c r="M15" s="618">
        <f>SUM(M11:M14)</f>
        <v>35.200000000000003</v>
      </c>
      <c r="N15" s="619"/>
      <c r="O15" s="618">
        <f>SUM(O11:O14)</f>
        <v>32.6</v>
      </c>
      <c r="P15" s="622"/>
      <c r="Z15" s="690"/>
      <c r="AA15" s="691"/>
      <c r="AB15" s="676" t="s">
        <v>236</v>
      </c>
      <c r="AC15" s="677"/>
      <c r="AD15" s="42">
        <v>0.82</v>
      </c>
      <c r="AE15" s="41">
        <v>0.67</v>
      </c>
      <c r="AF15" s="41">
        <v>0.55000000000000004</v>
      </c>
      <c r="AG15" s="42">
        <v>0.45</v>
      </c>
    </row>
    <row r="16" spans="1:33" ht="13.8" thickBot="1">
      <c r="B16" s="626" t="s">
        <v>152</v>
      </c>
      <c r="C16" s="626"/>
      <c r="D16" s="627"/>
      <c r="E16" s="620">
        <f>100-E15</f>
        <v>58.5</v>
      </c>
      <c r="F16" s="621"/>
      <c r="G16" s="620">
        <f>100-G15</f>
        <v>56.900000000000006</v>
      </c>
      <c r="H16" s="621"/>
      <c r="I16" s="620">
        <f>100-I15</f>
        <v>66</v>
      </c>
      <c r="J16" s="621"/>
      <c r="K16" s="620">
        <f>100-K15</f>
        <v>66.5</v>
      </c>
      <c r="L16" s="621"/>
      <c r="M16" s="620">
        <f>100-M15</f>
        <v>64.8</v>
      </c>
      <c r="N16" s="621"/>
      <c r="O16" s="620">
        <f>100-O15</f>
        <v>67.400000000000006</v>
      </c>
      <c r="P16" s="628"/>
      <c r="Z16" s="74" t="s">
        <v>238</v>
      </c>
      <c r="AA16" s="695" t="s">
        <v>237</v>
      </c>
      <c r="AB16" s="696"/>
      <c r="AC16" s="696"/>
      <c r="AD16" s="696"/>
      <c r="AE16" s="696"/>
      <c r="AF16" s="696"/>
      <c r="AG16" s="696"/>
    </row>
    <row r="17" spans="2:33" ht="13.8" thickTop="1">
      <c r="B17" s="632" t="s">
        <v>140</v>
      </c>
      <c r="C17" s="632"/>
      <c r="D17" s="454"/>
      <c r="E17" s="498">
        <f>SUM(E15:E16)</f>
        <v>100</v>
      </c>
      <c r="F17" s="629"/>
      <c r="G17" s="498">
        <f>SUM(G15:G16)</f>
        <v>100</v>
      </c>
      <c r="H17" s="629"/>
      <c r="I17" s="498">
        <f>SUM(I15:I16)</f>
        <v>100</v>
      </c>
      <c r="J17" s="629"/>
      <c r="K17" s="498">
        <f>SUM(K15:K16)</f>
        <v>100</v>
      </c>
      <c r="L17" s="629"/>
      <c r="M17" s="498">
        <f>SUM(M15:M16)</f>
        <v>100</v>
      </c>
      <c r="N17" s="629"/>
      <c r="O17" s="498">
        <f>SUM(O15:O16)</f>
        <v>100</v>
      </c>
      <c r="P17" s="636"/>
      <c r="Z17" s="46"/>
      <c r="AA17" s="252"/>
      <c r="AB17" s="252"/>
      <c r="AC17" s="252"/>
      <c r="AD17" s="252"/>
      <c r="AE17" s="252"/>
      <c r="AF17" s="252"/>
      <c r="AG17" s="252"/>
    </row>
    <row r="18" spans="2:33">
      <c r="B18" s="138" t="s">
        <v>397</v>
      </c>
      <c r="D18" s="26"/>
      <c r="E18" s="43"/>
      <c r="F18" s="43"/>
      <c r="G18" s="43"/>
      <c r="H18" s="43"/>
      <c r="I18" s="43"/>
      <c r="J18" s="43"/>
      <c r="K18" s="32"/>
      <c r="L18" s="14"/>
      <c r="M18" s="14"/>
      <c r="N18" s="14"/>
      <c r="O18" s="32"/>
      <c r="P18" s="32"/>
      <c r="Z18" s="46"/>
      <c r="AA18" s="74" t="s">
        <v>239</v>
      </c>
      <c r="AB18" s="46"/>
      <c r="AC18" s="46"/>
      <c r="AD18" s="46"/>
      <c r="AE18" s="45"/>
      <c r="AF18" s="45"/>
      <c r="AG18" s="45"/>
    </row>
    <row r="19" spans="2:33">
      <c r="Z19" s="46"/>
      <c r="AA19" s="46"/>
      <c r="AB19" s="46"/>
      <c r="AC19" s="46"/>
      <c r="AD19" s="46"/>
      <c r="AE19" s="46"/>
      <c r="AF19" s="46"/>
      <c r="AG19" s="46"/>
    </row>
    <row r="20" spans="2:33" ht="13.8" thickBot="1">
      <c r="B20" s="19"/>
      <c r="E20" s="1"/>
      <c r="F20" s="1"/>
      <c r="G20" s="1"/>
      <c r="H20" s="1"/>
      <c r="I20" s="1"/>
      <c r="J20" s="1"/>
      <c r="K20" s="14"/>
      <c r="L20" s="14"/>
      <c r="M20" s="14"/>
      <c r="N20" s="14"/>
      <c r="O20" s="14"/>
      <c r="P20" s="14"/>
    </row>
    <row r="21" spans="2:33" ht="13.8" thickTop="1">
      <c r="B21" s="488" t="s">
        <v>396</v>
      </c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4"/>
      <c r="O21" s="634"/>
      <c r="P21" s="634"/>
      <c r="Q21" s="634"/>
      <c r="R21" s="634"/>
      <c r="S21" s="634"/>
      <c r="T21" s="634"/>
      <c r="U21" s="634"/>
      <c r="V21" s="634"/>
      <c r="Z21" s="444" t="s">
        <v>416</v>
      </c>
      <c r="AA21" s="444"/>
      <c r="AB21" s="444"/>
      <c r="AC21" s="444"/>
      <c r="AD21" s="444"/>
      <c r="AE21" s="633"/>
      <c r="AF21" s="633"/>
      <c r="AG21" s="633"/>
    </row>
    <row r="22" spans="2:33" ht="13.8" thickBot="1">
      <c r="B22" s="263"/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635"/>
      <c r="O22" s="635"/>
      <c r="P22" s="635"/>
      <c r="Q22" s="635"/>
      <c r="R22" s="635"/>
      <c r="S22" s="635"/>
      <c r="T22" s="635"/>
      <c r="U22" s="635"/>
      <c r="V22" s="635"/>
      <c r="Z22" s="263"/>
      <c r="AA22" s="263"/>
      <c r="AB22" s="263"/>
      <c r="AC22" s="263"/>
      <c r="AD22" s="263"/>
      <c r="AE22" s="489"/>
      <c r="AF22" s="489"/>
      <c r="AG22" s="489"/>
    </row>
    <row r="23" spans="2:33">
      <c r="B23" s="642" t="s">
        <v>144</v>
      </c>
      <c r="C23" s="270"/>
      <c r="D23" s="271"/>
      <c r="E23" s="502" t="s">
        <v>566</v>
      </c>
      <c r="F23" s="637"/>
      <c r="G23" s="637"/>
      <c r="H23" s="637"/>
      <c r="I23" s="637"/>
      <c r="J23" s="637"/>
      <c r="K23" s="637"/>
      <c r="L23" s="637"/>
      <c r="M23" s="637"/>
      <c r="N23" s="502" t="s">
        <v>457</v>
      </c>
      <c r="O23" s="637"/>
      <c r="P23" s="637"/>
      <c r="Q23" s="637"/>
      <c r="R23" s="637"/>
      <c r="S23" s="637"/>
      <c r="T23" s="637"/>
      <c r="U23" s="637"/>
      <c r="V23" s="637"/>
      <c r="Z23" s="262" t="s">
        <v>233</v>
      </c>
      <c r="AA23" s="670"/>
      <c r="AB23" s="672" t="s">
        <v>234</v>
      </c>
      <c r="AC23" s="673"/>
      <c r="AD23" s="672" t="s">
        <v>232</v>
      </c>
      <c r="AE23" s="697"/>
      <c r="AF23" s="697"/>
      <c r="AG23" s="697"/>
    </row>
    <row r="24" spans="2:33">
      <c r="B24" s="270"/>
      <c r="C24" s="270"/>
      <c r="D24" s="271"/>
      <c r="E24" s="374" t="s">
        <v>169</v>
      </c>
      <c r="F24" s="549"/>
      <c r="G24" s="549"/>
      <c r="H24" s="549" t="s">
        <v>170</v>
      </c>
      <c r="I24" s="549"/>
      <c r="J24" s="549"/>
      <c r="K24" s="549" t="s">
        <v>171</v>
      </c>
      <c r="L24" s="549"/>
      <c r="M24" s="373"/>
      <c r="N24" s="549" t="s">
        <v>169</v>
      </c>
      <c r="O24" s="549"/>
      <c r="P24" s="549"/>
      <c r="Q24" s="549" t="s">
        <v>170</v>
      </c>
      <c r="R24" s="549"/>
      <c r="S24" s="549"/>
      <c r="T24" s="549" t="s">
        <v>171</v>
      </c>
      <c r="U24" s="549"/>
      <c r="V24" s="373"/>
      <c r="Z24" s="492"/>
      <c r="AA24" s="671"/>
      <c r="AB24" s="674"/>
      <c r="AC24" s="493"/>
      <c r="AD24" s="674"/>
      <c r="AE24" s="494"/>
      <c r="AF24" s="494"/>
      <c r="AG24" s="494"/>
    </row>
    <row r="25" spans="2:33">
      <c r="B25" s="270"/>
      <c r="C25" s="270"/>
      <c r="D25" s="271"/>
      <c r="E25" s="374"/>
      <c r="F25" s="549"/>
      <c r="G25" s="549"/>
      <c r="H25" s="549"/>
      <c r="I25" s="549"/>
      <c r="J25" s="549"/>
      <c r="K25" s="549"/>
      <c r="L25" s="549"/>
      <c r="M25" s="373"/>
      <c r="N25" s="549"/>
      <c r="O25" s="549"/>
      <c r="P25" s="549"/>
      <c r="Q25" s="549"/>
      <c r="R25" s="549"/>
      <c r="S25" s="549"/>
      <c r="T25" s="549"/>
      <c r="U25" s="549"/>
      <c r="V25" s="373"/>
      <c r="Z25" s="494"/>
      <c r="AA25" s="493"/>
      <c r="AB25" s="674"/>
      <c r="AC25" s="493"/>
      <c r="AD25" s="698">
        <v>1</v>
      </c>
      <c r="AE25" s="663">
        <v>2</v>
      </c>
      <c r="AF25" s="663">
        <v>3</v>
      </c>
      <c r="AG25" s="679">
        <v>4</v>
      </c>
    </row>
    <row r="26" spans="2:33">
      <c r="B26" s="270"/>
      <c r="C26" s="270"/>
      <c r="D26" s="271"/>
      <c r="E26" s="643" t="s">
        <v>176</v>
      </c>
      <c r="F26" s="638" t="s">
        <v>152</v>
      </c>
      <c r="G26" s="638" t="s">
        <v>85</v>
      </c>
      <c r="H26" s="638" t="s">
        <v>177</v>
      </c>
      <c r="I26" s="638" t="s">
        <v>152</v>
      </c>
      <c r="J26" s="638" t="s">
        <v>85</v>
      </c>
      <c r="K26" s="638" t="s">
        <v>177</v>
      </c>
      <c r="L26" s="638" t="s">
        <v>152</v>
      </c>
      <c r="M26" s="640" t="s">
        <v>85</v>
      </c>
      <c r="N26" s="638" t="s">
        <v>176</v>
      </c>
      <c r="O26" s="638" t="s">
        <v>152</v>
      </c>
      <c r="P26" s="638" t="s">
        <v>85</v>
      </c>
      <c r="Q26" s="638" t="s">
        <v>177</v>
      </c>
      <c r="R26" s="638" t="s">
        <v>152</v>
      </c>
      <c r="S26" s="638" t="s">
        <v>85</v>
      </c>
      <c r="T26" s="638" t="s">
        <v>177</v>
      </c>
      <c r="U26" s="638" t="s">
        <v>152</v>
      </c>
      <c r="V26" s="640" t="s">
        <v>85</v>
      </c>
      <c r="Z26" s="617"/>
      <c r="AA26" s="613"/>
      <c r="AB26" s="560"/>
      <c r="AC26" s="613"/>
      <c r="AD26" s="699"/>
      <c r="AE26" s="664"/>
      <c r="AF26" s="664"/>
      <c r="AG26" s="680"/>
    </row>
    <row r="27" spans="2:33">
      <c r="B27" s="590" t="s">
        <v>195</v>
      </c>
      <c r="C27" s="420"/>
      <c r="D27" s="236" t="s">
        <v>193</v>
      </c>
      <c r="E27" s="644"/>
      <c r="F27" s="639"/>
      <c r="G27" s="639"/>
      <c r="H27" s="639"/>
      <c r="I27" s="639"/>
      <c r="J27" s="639"/>
      <c r="K27" s="639"/>
      <c r="L27" s="639"/>
      <c r="M27" s="641"/>
      <c r="N27" s="639"/>
      <c r="O27" s="639"/>
      <c r="P27" s="639"/>
      <c r="Q27" s="639"/>
      <c r="R27" s="639"/>
      <c r="S27" s="639"/>
      <c r="T27" s="639"/>
      <c r="U27" s="639"/>
      <c r="V27" s="641"/>
      <c r="Z27" s="678" t="s">
        <v>235</v>
      </c>
      <c r="AA27" s="611"/>
      <c r="AB27" s="692" t="s">
        <v>414</v>
      </c>
      <c r="AC27" s="611"/>
      <c r="AD27" s="693">
        <v>0.86</v>
      </c>
      <c r="AE27" s="666">
        <v>0.74</v>
      </c>
      <c r="AF27" s="665">
        <v>0.74</v>
      </c>
      <c r="AG27" s="675">
        <v>0.74</v>
      </c>
    </row>
    <row r="28" spans="2:33">
      <c r="B28" s="300" t="s">
        <v>145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301" t="s">
        <v>145</v>
      </c>
      <c r="O28" s="260"/>
      <c r="P28" s="260"/>
      <c r="Q28" s="260"/>
      <c r="R28" s="260"/>
      <c r="S28" s="260"/>
      <c r="T28" s="260"/>
      <c r="U28" s="260"/>
      <c r="V28" s="260"/>
      <c r="Z28" s="617"/>
      <c r="AA28" s="613"/>
      <c r="AB28" s="560"/>
      <c r="AC28" s="613"/>
      <c r="AD28" s="694"/>
      <c r="AE28" s="666"/>
      <c r="AF28" s="666"/>
      <c r="AG28" s="579"/>
    </row>
    <row r="29" spans="2:33">
      <c r="B29" s="662" t="s">
        <v>103</v>
      </c>
      <c r="C29" s="284"/>
      <c r="D29" s="285"/>
      <c r="E29" s="33">
        <v>0.8</v>
      </c>
      <c r="F29" s="33">
        <v>2.6</v>
      </c>
      <c r="G29" s="33">
        <v>1.9</v>
      </c>
      <c r="H29" s="33">
        <v>0.6</v>
      </c>
      <c r="I29" s="33">
        <v>1.4</v>
      </c>
      <c r="J29" s="33">
        <v>1</v>
      </c>
      <c r="K29" s="33">
        <v>0</v>
      </c>
      <c r="L29" s="33">
        <v>0.3</v>
      </c>
      <c r="M29" s="14">
        <v>0.2</v>
      </c>
      <c r="N29" s="227">
        <v>0</v>
      </c>
      <c r="O29" s="227">
        <v>1.4</v>
      </c>
      <c r="P29" s="227">
        <v>0.9</v>
      </c>
      <c r="Q29" s="227">
        <v>0</v>
      </c>
      <c r="R29" s="227">
        <v>0.8</v>
      </c>
      <c r="S29" s="227">
        <v>0.5</v>
      </c>
      <c r="T29" s="227">
        <v>0</v>
      </c>
      <c r="U29" s="227">
        <v>0.3</v>
      </c>
      <c r="V29" s="216">
        <v>0.2</v>
      </c>
      <c r="Z29" s="686" t="s">
        <v>415</v>
      </c>
      <c r="AA29" s="687"/>
      <c r="AB29" s="692" t="s">
        <v>414</v>
      </c>
      <c r="AC29" s="611"/>
      <c r="AD29" s="693">
        <v>0.86</v>
      </c>
      <c r="AE29" s="666">
        <v>0.74</v>
      </c>
      <c r="AF29" s="665">
        <v>0.74</v>
      </c>
      <c r="AG29" s="675">
        <v>0.74</v>
      </c>
    </row>
    <row r="30" spans="2:33">
      <c r="B30" s="655" t="s">
        <v>104</v>
      </c>
      <c r="C30" s="270"/>
      <c r="D30" s="271"/>
      <c r="E30" s="33">
        <v>0.1</v>
      </c>
      <c r="F30" s="33">
        <v>0.1</v>
      </c>
      <c r="G30" s="33">
        <v>0.1</v>
      </c>
      <c r="H30" s="33">
        <v>0.1</v>
      </c>
      <c r="I30" s="33">
        <v>0.1</v>
      </c>
      <c r="J30" s="33">
        <v>0.1</v>
      </c>
      <c r="K30" s="33">
        <v>0.1</v>
      </c>
      <c r="L30" s="33">
        <v>0.1</v>
      </c>
      <c r="M30" s="14">
        <v>0.1</v>
      </c>
      <c r="N30" s="227">
        <v>0</v>
      </c>
      <c r="O30" s="227">
        <v>0</v>
      </c>
      <c r="P30" s="227">
        <v>0</v>
      </c>
      <c r="Q30" s="227">
        <v>1.6</v>
      </c>
      <c r="R30" s="227">
        <v>0</v>
      </c>
      <c r="S30" s="227">
        <v>0.5</v>
      </c>
      <c r="T30" s="227">
        <v>0.2</v>
      </c>
      <c r="U30" s="227">
        <v>0.1</v>
      </c>
      <c r="V30" s="226">
        <v>0.1</v>
      </c>
      <c r="Z30" s="688"/>
      <c r="AA30" s="689"/>
      <c r="AB30" s="560"/>
      <c r="AC30" s="613"/>
      <c r="AD30" s="694"/>
      <c r="AE30" s="666"/>
      <c r="AF30" s="666"/>
      <c r="AG30" s="579"/>
    </row>
    <row r="31" spans="2:33" ht="13.8" thickBot="1">
      <c r="B31" s="655" t="s">
        <v>105</v>
      </c>
      <c r="C31" s="270"/>
      <c r="D31" s="271"/>
      <c r="E31" s="33">
        <v>0.1</v>
      </c>
      <c r="F31" s="33">
        <v>0.1</v>
      </c>
      <c r="G31" s="33">
        <v>0.1</v>
      </c>
      <c r="H31" s="33">
        <v>0.1</v>
      </c>
      <c r="I31" s="33">
        <v>0.1</v>
      </c>
      <c r="J31" s="33">
        <v>0.1</v>
      </c>
      <c r="K31" s="33">
        <v>0.1</v>
      </c>
      <c r="L31" s="33">
        <v>0.1</v>
      </c>
      <c r="M31" s="14">
        <v>0.1</v>
      </c>
      <c r="N31" s="227">
        <v>1.8</v>
      </c>
      <c r="O31" s="227">
        <v>0</v>
      </c>
      <c r="P31" s="227">
        <v>0.6</v>
      </c>
      <c r="Q31" s="227">
        <v>0.8</v>
      </c>
      <c r="R31" s="227">
        <v>0</v>
      </c>
      <c r="S31" s="227">
        <v>0.3</v>
      </c>
      <c r="T31" s="227">
        <v>0.6</v>
      </c>
      <c r="U31" s="227">
        <v>0</v>
      </c>
      <c r="V31" s="226">
        <v>0.2</v>
      </c>
      <c r="Z31" s="690"/>
      <c r="AA31" s="691"/>
      <c r="AB31" s="676" t="s">
        <v>236</v>
      </c>
      <c r="AC31" s="677"/>
      <c r="AD31" s="42">
        <v>0.96</v>
      </c>
      <c r="AE31" s="41">
        <v>0.92</v>
      </c>
      <c r="AF31" s="41">
        <v>0.88</v>
      </c>
      <c r="AG31" s="42">
        <v>0.85</v>
      </c>
    </row>
    <row r="32" spans="2:33">
      <c r="B32" s="655" t="s">
        <v>106</v>
      </c>
      <c r="C32" s="270"/>
      <c r="D32" s="271"/>
      <c r="E32" s="33">
        <v>2.2000000000000002</v>
      </c>
      <c r="F32" s="33">
        <v>0.7</v>
      </c>
      <c r="G32" s="33">
        <v>1.3</v>
      </c>
      <c r="H32" s="33">
        <v>0.6</v>
      </c>
      <c r="I32" s="33">
        <v>0.4</v>
      </c>
      <c r="J32" s="33">
        <v>0.5</v>
      </c>
      <c r="K32" s="33">
        <v>0.3</v>
      </c>
      <c r="L32" s="33">
        <v>0.3</v>
      </c>
      <c r="M32" s="14">
        <v>0.3</v>
      </c>
      <c r="N32" s="227">
        <v>0</v>
      </c>
      <c r="O32" s="227">
        <v>0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6">
        <v>0</v>
      </c>
      <c r="Z32" s="74" t="s">
        <v>238</v>
      </c>
      <c r="AA32" s="695" t="s">
        <v>240</v>
      </c>
      <c r="AB32" s="696"/>
      <c r="AC32" s="696"/>
      <c r="AD32" s="696"/>
      <c r="AE32" s="696"/>
      <c r="AF32" s="696"/>
      <c r="AG32" s="696"/>
    </row>
    <row r="33" spans="2:33">
      <c r="B33" s="655" t="s">
        <v>107</v>
      </c>
      <c r="C33" s="270"/>
      <c r="D33" s="271"/>
      <c r="E33" s="33">
        <v>24</v>
      </c>
      <c r="F33" s="33">
        <v>24.7</v>
      </c>
      <c r="G33" s="33">
        <v>24.4</v>
      </c>
      <c r="H33" s="33">
        <v>9.4</v>
      </c>
      <c r="I33" s="33">
        <v>14.4</v>
      </c>
      <c r="J33" s="33">
        <v>12.2</v>
      </c>
      <c r="K33" s="33">
        <v>3.2</v>
      </c>
      <c r="L33" s="33">
        <v>8.1</v>
      </c>
      <c r="M33" s="14">
        <v>6.4</v>
      </c>
      <c r="N33" s="227">
        <v>27</v>
      </c>
      <c r="O33" s="227">
        <v>43.2</v>
      </c>
      <c r="P33" s="227">
        <v>37.799999999999997</v>
      </c>
      <c r="Q33" s="227">
        <v>13.2</v>
      </c>
      <c r="R33" s="227">
        <v>20.6</v>
      </c>
      <c r="S33" s="227">
        <v>18</v>
      </c>
      <c r="T33" s="227">
        <v>3.8</v>
      </c>
      <c r="U33" s="227">
        <v>5.8</v>
      </c>
      <c r="V33" s="226">
        <v>5.2</v>
      </c>
      <c r="Z33" s="31"/>
      <c r="AA33" s="252"/>
      <c r="AB33" s="252"/>
      <c r="AC33" s="252"/>
      <c r="AD33" s="252"/>
      <c r="AE33" s="252"/>
      <c r="AF33" s="252"/>
      <c r="AG33" s="252"/>
    </row>
    <row r="34" spans="2:33" ht="13.8" thickBot="1">
      <c r="B34" s="656" t="s">
        <v>146</v>
      </c>
      <c r="C34" s="657"/>
      <c r="D34" s="658"/>
      <c r="E34" s="33">
        <v>1.1000000000000001</v>
      </c>
      <c r="F34" s="33">
        <v>2</v>
      </c>
      <c r="G34" s="33">
        <v>1.6</v>
      </c>
      <c r="H34" s="33">
        <v>0.4</v>
      </c>
      <c r="I34" s="33">
        <v>1</v>
      </c>
      <c r="J34" s="33">
        <v>0.8</v>
      </c>
      <c r="K34" s="33">
        <v>0.3</v>
      </c>
      <c r="L34" s="33">
        <v>1.8</v>
      </c>
      <c r="M34" s="14">
        <v>0.5</v>
      </c>
      <c r="N34" s="227">
        <v>1.8</v>
      </c>
      <c r="O34" s="227">
        <v>1.8</v>
      </c>
      <c r="P34" s="227">
        <v>1.8</v>
      </c>
      <c r="Q34" s="227">
        <v>1.6</v>
      </c>
      <c r="R34" s="227">
        <v>3.4</v>
      </c>
      <c r="S34" s="227">
        <v>2.7</v>
      </c>
      <c r="T34" s="227">
        <v>1.7</v>
      </c>
      <c r="U34" s="227">
        <v>0.9</v>
      </c>
      <c r="V34" s="228">
        <v>1.2</v>
      </c>
      <c r="Z34" s="75"/>
      <c r="AA34" s="74" t="s">
        <v>239</v>
      </c>
      <c r="AB34" s="46"/>
      <c r="AC34" s="46"/>
      <c r="AD34" s="46"/>
      <c r="AE34" s="46"/>
      <c r="AF34" s="46"/>
      <c r="AG34" s="46"/>
    </row>
    <row r="35" spans="2:33" ht="14.4" thickTop="1" thickBot="1">
      <c r="B35" s="659" t="s">
        <v>109</v>
      </c>
      <c r="C35" s="660"/>
      <c r="D35" s="661"/>
      <c r="E35" s="48">
        <f t="shared" ref="E35:V35" si="0">SUM(E29:E34)</f>
        <v>28.3</v>
      </c>
      <c r="F35" s="48">
        <f t="shared" si="0"/>
        <v>30.2</v>
      </c>
      <c r="G35" s="48">
        <f t="shared" si="0"/>
        <v>29.4</v>
      </c>
      <c r="H35" s="48">
        <f t="shared" si="0"/>
        <v>11.200000000000001</v>
      </c>
      <c r="I35" s="48">
        <f t="shared" si="0"/>
        <v>17.399999999999999</v>
      </c>
      <c r="J35" s="48">
        <f t="shared" si="0"/>
        <v>14.7</v>
      </c>
      <c r="K35" s="48">
        <f t="shared" si="0"/>
        <v>4</v>
      </c>
      <c r="L35" s="48">
        <f t="shared" si="0"/>
        <v>10.700000000000001</v>
      </c>
      <c r="M35" s="35">
        <f t="shared" si="0"/>
        <v>7.6000000000000005</v>
      </c>
      <c r="N35" s="48">
        <f t="shared" si="0"/>
        <v>30.6</v>
      </c>
      <c r="O35" s="48">
        <f t="shared" si="0"/>
        <v>46.4</v>
      </c>
      <c r="P35" s="48">
        <f t="shared" si="0"/>
        <v>41.099999999999994</v>
      </c>
      <c r="Q35" s="48">
        <f t="shared" si="0"/>
        <v>17.2</v>
      </c>
      <c r="R35" s="48">
        <f t="shared" si="0"/>
        <v>24.8</v>
      </c>
      <c r="S35" s="48">
        <f t="shared" si="0"/>
        <v>22</v>
      </c>
      <c r="T35" s="48">
        <f t="shared" si="0"/>
        <v>6.3</v>
      </c>
      <c r="U35" s="48">
        <f t="shared" si="0"/>
        <v>7.1000000000000005</v>
      </c>
      <c r="V35" s="35">
        <f t="shared" si="0"/>
        <v>6.9</v>
      </c>
    </row>
    <row r="36" spans="2:33">
      <c r="B36" s="653" t="s">
        <v>147</v>
      </c>
      <c r="C36" s="654"/>
      <c r="D36" s="654"/>
      <c r="E36" s="654"/>
      <c r="F36" s="654"/>
      <c r="G36" s="654"/>
      <c r="H36" s="654"/>
      <c r="I36" s="654"/>
      <c r="J36" s="654"/>
      <c r="K36" s="654"/>
      <c r="L36" s="654"/>
      <c r="M36" s="654"/>
      <c r="N36" s="269" t="s">
        <v>147</v>
      </c>
      <c r="O36" s="411"/>
      <c r="P36" s="411"/>
      <c r="Q36" s="411"/>
      <c r="R36" s="411"/>
      <c r="S36" s="411"/>
      <c r="T36" s="411"/>
      <c r="U36" s="411"/>
      <c r="V36" s="411"/>
    </row>
    <row r="37" spans="2:33">
      <c r="B37" s="662" t="s">
        <v>111</v>
      </c>
      <c r="C37" s="284"/>
      <c r="D37" s="285"/>
      <c r="E37" s="33">
        <v>27.5</v>
      </c>
      <c r="F37" s="33">
        <v>21</v>
      </c>
      <c r="G37" s="33">
        <v>23.7</v>
      </c>
      <c r="H37" s="33">
        <v>53.2</v>
      </c>
      <c r="I37" s="33">
        <v>35.4</v>
      </c>
      <c r="J37" s="33">
        <v>43.1</v>
      </c>
      <c r="K37" s="33">
        <v>33.6</v>
      </c>
      <c r="L37" s="33">
        <v>24.2</v>
      </c>
      <c r="M37" s="47">
        <v>27.4</v>
      </c>
      <c r="N37" s="215">
        <v>23.4</v>
      </c>
      <c r="O37" s="215">
        <v>18.2</v>
      </c>
      <c r="P37" s="215">
        <v>19.899999999999999</v>
      </c>
      <c r="Q37" s="215">
        <v>46.5</v>
      </c>
      <c r="R37" s="215">
        <v>41.2</v>
      </c>
      <c r="S37" s="215">
        <v>43.1</v>
      </c>
      <c r="T37" s="215">
        <v>38.1</v>
      </c>
      <c r="U37" s="215">
        <v>20.8</v>
      </c>
      <c r="V37" s="216">
        <v>26.4</v>
      </c>
    </row>
    <row r="38" spans="2:33">
      <c r="B38" s="655" t="s">
        <v>112</v>
      </c>
      <c r="C38" s="270"/>
      <c r="D38" s="271"/>
      <c r="E38" s="34">
        <v>8.1</v>
      </c>
      <c r="F38" s="33">
        <v>3.2</v>
      </c>
      <c r="G38" s="33">
        <v>5.2</v>
      </c>
      <c r="H38" s="33">
        <v>6</v>
      </c>
      <c r="I38" s="33">
        <v>2.5</v>
      </c>
      <c r="J38" s="33">
        <v>4</v>
      </c>
      <c r="K38" s="33">
        <v>8</v>
      </c>
      <c r="L38" s="33">
        <v>4</v>
      </c>
      <c r="M38" s="47">
        <v>5.4</v>
      </c>
      <c r="N38" s="230">
        <v>0</v>
      </c>
      <c r="O38" s="227">
        <v>0.5</v>
      </c>
      <c r="P38" s="227">
        <v>0.3</v>
      </c>
      <c r="Q38" s="227">
        <v>1.6</v>
      </c>
      <c r="R38" s="227">
        <v>0</v>
      </c>
      <c r="S38" s="227">
        <v>0.5</v>
      </c>
      <c r="T38" s="227">
        <v>0.2</v>
      </c>
      <c r="U38" s="227">
        <v>0.1</v>
      </c>
      <c r="V38" s="226">
        <v>0.1</v>
      </c>
    </row>
    <row r="39" spans="2:33">
      <c r="B39" s="655" t="s">
        <v>113</v>
      </c>
      <c r="C39" s="270"/>
      <c r="D39" s="271"/>
      <c r="E39" s="33">
        <v>26</v>
      </c>
      <c r="F39" s="33">
        <v>29.2</v>
      </c>
      <c r="G39" s="33">
        <v>27.8</v>
      </c>
      <c r="H39" s="33">
        <v>21</v>
      </c>
      <c r="I39" s="33">
        <v>26.6</v>
      </c>
      <c r="J39" s="33">
        <v>24.2</v>
      </c>
      <c r="K39" s="33">
        <v>40.299999999999997</v>
      </c>
      <c r="L39" s="33">
        <v>43.8</v>
      </c>
      <c r="M39" s="47">
        <v>42.6</v>
      </c>
      <c r="N39" s="227">
        <v>10.8</v>
      </c>
      <c r="O39" s="227">
        <v>6.8</v>
      </c>
      <c r="P39" s="227">
        <v>8.1999999999999993</v>
      </c>
      <c r="Q39" s="227">
        <v>10.1</v>
      </c>
      <c r="R39" s="227">
        <v>7.1</v>
      </c>
      <c r="S39" s="227">
        <v>8.1999999999999993</v>
      </c>
      <c r="T39" s="227">
        <v>6</v>
      </c>
      <c r="U39" s="227">
        <v>7.8</v>
      </c>
      <c r="V39" s="226">
        <v>7.3</v>
      </c>
    </row>
    <row r="40" spans="2:33">
      <c r="B40" s="655" t="s">
        <v>114</v>
      </c>
      <c r="C40" s="270"/>
      <c r="D40" s="271"/>
      <c r="E40" s="33">
        <v>5.0999999999999996</v>
      </c>
      <c r="F40" s="33">
        <v>13.1</v>
      </c>
      <c r="G40" s="33">
        <v>9.6999999999999993</v>
      </c>
      <c r="H40" s="33">
        <v>4.4000000000000004</v>
      </c>
      <c r="I40" s="33">
        <v>14.4</v>
      </c>
      <c r="J40" s="33">
        <v>10.1</v>
      </c>
      <c r="K40" s="33">
        <v>5.0999999999999996</v>
      </c>
      <c r="L40" s="33">
        <v>15.3</v>
      </c>
      <c r="M40" s="47">
        <v>11.8</v>
      </c>
      <c r="N40" s="227">
        <v>0</v>
      </c>
      <c r="O40" s="227">
        <v>1.4</v>
      </c>
      <c r="P40" s="227">
        <v>0.9</v>
      </c>
      <c r="Q40" s="227">
        <v>0.8</v>
      </c>
      <c r="R40" s="227">
        <v>0.4</v>
      </c>
      <c r="S40" s="227">
        <v>0.5</v>
      </c>
      <c r="T40" s="227">
        <v>0.4</v>
      </c>
      <c r="U40" s="227">
        <v>2.4</v>
      </c>
      <c r="V40" s="226">
        <v>1.8</v>
      </c>
    </row>
    <row r="41" spans="2:33" ht="13.8" thickBot="1">
      <c r="B41" s="656" t="s">
        <v>115</v>
      </c>
      <c r="C41" s="657"/>
      <c r="D41" s="658"/>
      <c r="E41" s="33">
        <v>5</v>
      </c>
      <c r="F41" s="33">
        <v>3.3</v>
      </c>
      <c r="G41" s="33">
        <v>4.2</v>
      </c>
      <c r="H41" s="33">
        <v>4.2</v>
      </c>
      <c r="I41" s="33">
        <v>3.7</v>
      </c>
      <c r="J41" s="33">
        <v>3.9</v>
      </c>
      <c r="K41" s="33">
        <v>9</v>
      </c>
      <c r="L41" s="33">
        <v>2</v>
      </c>
      <c r="M41" s="47">
        <v>5.2</v>
      </c>
      <c r="N41" s="229">
        <v>35.1</v>
      </c>
      <c r="O41" s="229">
        <v>26.8</v>
      </c>
      <c r="P41" s="229">
        <v>29.6</v>
      </c>
      <c r="Q41" s="229">
        <v>24</v>
      </c>
      <c r="R41" s="229">
        <v>26.5</v>
      </c>
      <c r="S41" s="229">
        <v>25.6</v>
      </c>
      <c r="T41" s="229">
        <v>49</v>
      </c>
      <c r="U41" s="229">
        <v>61.7</v>
      </c>
      <c r="V41" s="228">
        <v>57.6</v>
      </c>
    </row>
    <row r="42" spans="2:33" ht="14.4" thickTop="1" thickBot="1">
      <c r="B42" s="659" t="s">
        <v>148</v>
      </c>
      <c r="C42" s="660"/>
      <c r="D42" s="661"/>
      <c r="E42" s="48">
        <f t="shared" ref="E42:V42" si="1">SUM(E37:E41)</f>
        <v>71.7</v>
      </c>
      <c r="F42" s="48">
        <f t="shared" si="1"/>
        <v>69.8</v>
      </c>
      <c r="G42" s="48">
        <f t="shared" si="1"/>
        <v>70.600000000000009</v>
      </c>
      <c r="H42" s="48">
        <f t="shared" si="1"/>
        <v>88.800000000000011</v>
      </c>
      <c r="I42" s="48">
        <f t="shared" si="1"/>
        <v>82.600000000000009</v>
      </c>
      <c r="J42" s="48">
        <f t="shared" si="1"/>
        <v>85.3</v>
      </c>
      <c r="K42" s="48">
        <f t="shared" si="1"/>
        <v>96</v>
      </c>
      <c r="L42" s="48">
        <f t="shared" si="1"/>
        <v>89.3</v>
      </c>
      <c r="M42" s="35">
        <f t="shared" si="1"/>
        <v>92.4</v>
      </c>
      <c r="N42" s="48">
        <f t="shared" si="1"/>
        <v>69.300000000000011</v>
      </c>
      <c r="O42" s="48">
        <f t="shared" si="1"/>
        <v>53.7</v>
      </c>
      <c r="P42" s="48">
        <f t="shared" si="1"/>
        <v>58.9</v>
      </c>
      <c r="Q42" s="48">
        <f t="shared" si="1"/>
        <v>83</v>
      </c>
      <c r="R42" s="48">
        <f t="shared" si="1"/>
        <v>75.2</v>
      </c>
      <c r="S42" s="48">
        <f t="shared" si="1"/>
        <v>77.900000000000006</v>
      </c>
      <c r="T42" s="48">
        <f t="shared" si="1"/>
        <v>93.7</v>
      </c>
      <c r="U42" s="48">
        <f t="shared" si="1"/>
        <v>92.800000000000011</v>
      </c>
      <c r="V42" s="35">
        <f t="shared" si="1"/>
        <v>93.199999999999989</v>
      </c>
    </row>
    <row r="43" spans="2:33" ht="13.8" thickBot="1">
      <c r="B43" s="651" t="s">
        <v>149</v>
      </c>
      <c r="C43" s="387"/>
      <c r="D43" s="652"/>
      <c r="E43" s="36">
        <f t="shared" ref="E43:V43" si="2">+E35+E42</f>
        <v>100</v>
      </c>
      <c r="F43" s="36">
        <f t="shared" si="2"/>
        <v>100</v>
      </c>
      <c r="G43" s="36">
        <f t="shared" si="2"/>
        <v>100</v>
      </c>
      <c r="H43" s="36">
        <f t="shared" si="2"/>
        <v>100.00000000000001</v>
      </c>
      <c r="I43" s="36">
        <f t="shared" si="2"/>
        <v>100</v>
      </c>
      <c r="J43" s="36">
        <f t="shared" si="2"/>
        <v>100</v>
      </c>
      <c r="K43" s="36">
        <f t="shared" si="2"/>
        <v>100</v>
      </c>
      <c r="L43" s="36">
        <f t="shared" si="2"/>
        <v>100</v>
      </c>
      <c r="M43" s="37">
        <f t="shared" si="2"/>
        <v>100</v>
      </c>
      <c r="N43" s="36">
        <f t="shared" si="2"/>
        <v>99.9</v>
      </c>
      <c r="O43" s="36">
        <f t="shared" si="2"/>
        <v>100.1</v>
      </c>
      <c r="P43" s="36">
        <f t="shared" si="2"/>
        <v>100</v>
      </c>
      <c r="Q43" s="36">
        <f t="shared" si="2"/>
        <v>100.2</v>
      </c>
      <c r="R43" s="36">
        <f t="shared" si="2"/>
        <v>100</v>
      </c>
      <c r="S43" s="36">
        <f t="shared" si="2"/>
        <v>99.9</v>
      </c>
      <c r="T43" s="36">
        <f t="shared" si="2"/>
        <v>100</v>
      </c>
      <c r="U43" s="36">
        <f t="shared" si="2"/>
        <v>99.9</v>
      </c>
      <c r="V43" s="37">
        <f t="shared" si="2"/>
        <v>100.1</v>
      </c>
    </row>
    <row r="44" spans="2:33">
      <c r="B44" s="86" t="s">
        <v>397</v>
      </c>
    </row>
    <row r="45" spans="2:33" ht="13.8" thickBot="1"/>
    <row r="46" spans="2:33" ht="14.4" thickTop="1" thickBot="1">
      <c r="B46" s="444" t="s">
        <v>417</v>
      </c>
      <c r="C46" s="633"/>
      <c r="D46" s="633"/>
      <c r="E46" s="633"/>
      <c r="F46" s="633"/>
      <c r="G46" s="633"/>
      <c r="H46" s="684"/>
      <c r="J46" s="457" t="s">
        <v>490</v>
      </c>
      <c r="K46" s="457"/>
    </row>
    <row r="47" spans="2:33" ht="13.8" thickBot="1">
      <c r="B47" s="489"/>
      <c r="C47" s="489"/>
      <c r="D47" s="489"/>
      <c r="E47" s="489"/>
      <c r="F47" s="489"/>
      <c r="G47" s="489"/>
      <c r="H47" s="685"/>
      <c r="J47" s="158" t="s">
        <v>491</v>
      </c>
      <c r="K47" s="154" t="s">
        <v>451</v>
      </c>
    </row>
    <row r="48" spans="2:33" ht="15.6">
      <c r="B48" s="682" t="s">
        <v>241</v>
      </c>
      <c r="C48" s="683"/>
      <c r="D48" s="358"/>
      <c r="E48" s="268" t="s">
        <v>243</v>
      </c>
      <c r="F48" s="554"/>
      <c r="G48" s="554"/>
      <c r="H48" s="681"/>
      <c r="J48" s="51" t="s">
        <v>477</v>
      </c>
      <c r="K48" s="168" t="s">
        <v>477</v>
      </c>
    </row>
    <row r="49" spans="2:11">
      <c r="B49" s="668" t="s">
        <v>195</v>
      </c>
      <c r="C49" s="669"/>
      <c r="D49" s="237" t="s">
        <v>194</v>
      </c>
      <c r="E49" s="78" t="s">
        <v>242</v>
      </c>
      <c r="F49" s="22"/>
      <c r="G49" s="79" t="s">
        <v>143</v>
      </c>
      <c r="H49" s="53"/>
      <c r="J49" s="51" t="s">
        <v>492</v>
      </c>
      <c r="K49" s="167" t="s">
        <v>455</v>
      </c>
    </row>
    <row r="50" spans="2:11">
      <c r="B50" s="512" t="s">
        <v>206</v>
      </c>
      <c r="C50" s="260"/>
      <c r="D50" s="291"/>
      <c r="E50" s="667">
        <v>0.26</v>
      </c>
      <c r="F50" s="256"/>
      <c r="G50" s="646"/>
      <c r="H50" s="647"/>
      <c r="J50" t="s">
        <v>493</v>
      </c>
      <c r="K50" s="167" t="s">
        <v>455</v>
      </c>
    </row>
    <row r="51" spans="2:11">
      <c r="B51" s="512" t="s">
        <v>207</v>
      </c>
      <c r="C51" s="260"/>
      <c r="D51" s="291"/>
      <c r="E51" s="667">
        <v>0.24399999999999999</v>
      </c>
      <c r="F51" s="256"/>
      <c r="G51" s="646"/>
      <c r="H51" s="647"/>
      <c r="J51" t="s">
        <v>494</v>
      </c>
      <c r="K51" s="167" t="s">
        <v>453</v>
      </c>
    </row>
    <row r="52" spans="2:11" ht="13.8" thickBot="1">
      <c r="B52" s="650" t="s">
        <v>208</v>
      </c>
      <c r="C52" s="414"/>
      <c r="D52" s="367"/>
      <c r="E52" s="645">
        <v>0.28599999999999998</v>
      </c>
      <c r="F52" s="458"/>
      <c r="G52" s="648"/>
      <c r="H52" s="649"/>
      <c r="J52" t="s">
        <v>495</v>
      </c>
      <c r="K52" s="167" t="s">
        <v>454</v>
      </c>
    </row>
    <row r="53" spans="2:11">
      <c r="B53" s="86" t="s">
        <v>397</v>
      </c>
      <c r="J53" t="s">
        <v>496</v>
      </c>
      <c r="K53" s="167" t="s">
        <v>452</v>
      </c>
    </row>
    <row r="54" spans="2:11" ht="13.8" thickBot="1">
      <c r="J54" t="s">
        <v>497</v>
      </c>
      <c r="K54" s="167" t="s">
        <v>453</v>
      </c>
    </row>
    <row r="55" spans="2:11" ht="14.4" thickTop="1" thickBot="1">
      <c r="B55" s="457" t="s">
        <v>475</v>
      </c>
      <c r="C55" s="457"/>
      <c r="J55" t="s">
        <v>498</v>
      </c>
      <c r="K55" s="167" t="s">
        <v>452</v>
      </c>
    </row>
    <row r="56" spans="2:11">
      <c r="B56" s="157" t="s">
        <v>451</v>
      </c>
      <c r="C56" s="158" t="s">
        <v>476</v>
      </c>
      <c r="J56" t="s">
        <v>499</v>
      </c>
      <c r="K56" s="167" t="s">
        <v>455</v>
      </c>
    </row>
    <row r="57" spans="2:11">
      <c r="B57" s="51" t="s">
        <v>477</v>
      </c>
      <c r="C57" s="58">
        <v>1</v>
      </c>
      <c r="J57" t="s">
        <v>500</v>
      </c>
      <c r="K57" s="167" t="s">
        <v>454</v>
      </c>
    </row>
    <row r="58" spans="2:11">
      <c r="B58" s="51" t="s">
        <v>452</v>
      </c>
      <c r="C58" s="219">
        <v>1.0104047713268132</v>
      </c>
      <c r="J58" t="s">
        <v>501</v>
      </c>
      <c r="K58" s="167" t="s">
        <v>453</v>
      </c>
    </row>
    <row r="59" spans="2:11">
      <c r="B59" s="51" t="s">
        <v>453</v>
      </c>
      <c r="C59" s="219">
        <v>1.1524526158953687</v>
      </c>
      <c r="J59" t="s">
        <v>502</v>
      </c>
      <c r="K59" s="167" t="s">
        <v>455</v>
      </c>
    </row>
    <row r="60" spans="2:11">
      <c r="B60" s="51" t="s">
        <v>454</v>
      </c>
      <c r="C60" s="219">
        <v>0.72997726745352209</v>
      </c>
      <c r="J60" t="s">
        <v>503</v>
      </c>
      <c r="K60" s="167" t="s">
        <v>453</v>
      </c>
    </row>
    <row r="61" spans="2:11" ht="13.8" thickBot="1">
      <c r="B61" s="151" t="s">
        <v>455</v>
      </c>
      <c r="C61" s="220">
        <v>1.0012998527572392</v>
      </c>
      <c r="J61" s="169" t="s">
        <v>504</v>
      </c>
      <c r="K61" s="170" t="s">
        <v>452</v>
      </c>
    </row>
    <row r="62" spans="2:11">
      <c r="J62" t="s">
        <v>505</v>
      </c>
      <c r="K62" s="167" t="s">
        <v>454</v>
      </c>
    </row>
    <row r="63" spans="2:11">
      <c r="J63" t="s">
        <v>506</v>
      </c>
      <c r="K63" s="167" t="s">
        <v>455</v>
      </c>
    </row>
    <row r="64" spans="2:11">
      <c r="J64" t="s">
        <v>507</v>
      </c>
      <c r="K64" s="167" t="s">
        <v>452</v>
      </c>
    </row>
    <row r="65" spans="10:11">
      <c r="J65" t="s">
        <v>508</v>
      </c>
      <c r="K65" s="167" t="s">
        <v>455</v>
      </c>
    </row>
    <row r="66" spans="10:11">
      <c r="J66" t="s">
        <v>509</v>
      </c>
      <c r="K66" s="167" t="s">
        <v>453</v>
      </c>
    </row>
    <row r="67" spans="10:11">
      <c r="J67" t="s">
        <v>510</v>
      </c>
      <c r="K67" s="167" t="s">
        <v>454</v>
      </c>
    </row>
    <row r="68" spans="10:11">
      <c r="J68" t="s">
        <v>511</v>
      </c>
      <c r="K68" s="167" t="s">
        <v>455</v>
      </c>
    </row>
    <row r="69" spans="10:11">
      <c r="J69" t="s">
        <v>512</v>
      </c>
      <c r="K69" s="167" t="s">
        <v>454</v>
      </c>
    </row>
    <row r="70" spans="10:11">
      <c r="J70" t="s">
        <v>513</v>
      </c>
      <c r="K70" s="167" t="s">
        <v>453</v>
      </c>
    </row>
    <row r="71" spans="10:11">
      <c r="J71" t="s">
        <v>514</v>
      </c>
      <c r="K71" s="167" t="s">
        <v>453</v>
      </c>
    </row>
    <row r="72" spans="10:11">
      <c r="J72" t="s">
        <v>515</v>
      </c>
      <c r="K72" s="167" t="s">
        <v>453</v>
      </c>
    </row>
    <row r="73" spans="10:11" ht="13.8" thickBot="1">
      <c r="J73" s="171" t="s">
        <v>516</v>
      </c>
      <c r="K73" s="166" t="s">
        <v>454</v>
      </c>
    </row>
  </sheetData>
  <sheetProtection sheet="1" objects="1" scenarios="1"/>
  <mergeCells count="170">
    <mergeCell ref="B55:C55"/>
    <mergeCell ref="R5:X5"/>
    <mergeCell ref="R6:S6"/>
    <mergeCell ref="U6:X6"/>
    <mergeCell ref="AB27:AC28"/>
    <mergeCell ref="AD27:AD28"/>
    <mergeCell ref="AE27:AE28"/>
    <mergeCell ref="AF27:AF28"/>
    <mergeCell ref="AG27:AG28"/>
    <mergeCell ref="AG11:AG12"/>
    <mergeCell ref="AD13:AD14"/>
    <mergeCell ref="AE13:AE14"/>
    <mergeCell ref="AF13:AF14"/>
    <mergeCell ref="AG13:AG14"/>
    <mergeCell ref="AD11:AD12"/>
    <mergeCell ref="AE11:AE12"/>
    <mergeCell ref="AB11:AC12"/>
    <mergeCell ref="Z13:AA15"/>
    <mergeCell ref="AB13:AC14"/>
    <mergeCell ref="AB15:AC15"/>
    <mergeCell ref="Z5:AG6"/>
    <mergeCell ref="AD7:AG8"/>
    <mergeCell ref="AD9:AD10"/>
    <mergeCell ref="AE9:AE10"/>
    <mergeCell ref="Z29:AA31"/>
    <mergeCell ref="AB29:AC30"/>
    <mergeCell ref="AD29:AD30"/>
    <mergeCell ref="AE29:AE30"/>
    <mergeCell ref="AF29:AF30"/>
    <mergeCell ref="AA32:AG33"/>
    <mergeCell ref="AA16:AG17"/>
    <mergeCell ref="Z21:AG22"/>
    <mergeCell ref="Z23:AA26"/>
    <mergeCell ref="AB23:AC26"/>
    <mergeCell ref="AD23:AG24"/>
    <mergeCell ref="AD25:AD26"/>
    <mergeCell ref="AE25:AE26"/>
    <mergeCell ref="AF25:AF26"/>
    <mergeCell ref="AG25:AG26"/>
    <mergeCell ref="AF9:AF10"/>
    <mergeCell ref="AF11:AF12"/>
    <mergeCell ref="E50:F50"/>
    <mergeCell ref="E51:F51"/>
    <mergeCell ref="B49:C49"/>
    <mergeCell ref="Z7:AA10"/>
    <mergeCell ref="AB7:AC10"/>
    <mergeCell ref="AG29:AG30"/>
    <mergeCell ref="AB31:AC31"/>
    <mergeCell ref="Z27:AA28"/>
    <mergeCell ref="AG9:AG10"/>
    <mergeCell ref="Z11:AA12"/>
    <mergeCell ref="E48:H48"/>
    <mergeCell ref="B48:D48"/>
    <mergeCell ref="B46:H47"/>
    <mergeCell ref="N36:V36"/>
    <mergeCell ref="B29:D29"/>
    <mergeCell ref="B30:D30"/>
    <mergeCell ref="B32:D32"/>
    <mergeCell ref="B35:D35"/>
    <mergeCell ref="B31:D31"/>
    <mergeCell ref="B33:D33"/>
    <mergeCell ref="B34:D34"/>
    <mergeCell ref="N28:V28"/>
    <mergeCell ref="E52:F52"/>
    <mergeCell ref="G50:H50"/>
    <mergeCell ref="G51:H51"/>
    <mergeCell ref="G52:H52"/>
    <mergeCell ref="B50:D50"/>
    <mergeCell ref="B51:D51"/>
    <mergeCell ref="B52:D52"/>
    <mergeCell ref="B43:D43"/>
    <mergeCell ref="B36:M36"/>
    <mergeCell ref="B38:D38"/>
    <mergeCell ref="B39:D39"/>
    <mergeCell ref="B40:D40"/>
    <mergeCell ref="B41:D41"/>
    <mergeCell ref="B42:D42"/>
    <mergeCell ref="B37:D37"/>
    <mergeCell ref="J46:K46"/>
    <mergeCell ref="B28:M28"/>
    <mergeCell ref="U26:U27"/>
    <mergeCell ref="V26:V27"/>
    <mergeCell ref="O26:O27"/>
    <mergeCell ref="P26:P27"/>
    <mergeCell ref="F26:F27"/>
    <mergeCell ref="G26:G27"/>
    <mergeCell ref="H26:H27"/>
    <mergeCell ref="N26:N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B27:C27"/>
    <mergeCell ref="B23:D26"/>
    <mergeCell ref="E26:E27"/>
    <mergeCell ref="B21:V22"/>
    <mergeCell ref="Q24:S25"/>
    <mergeCell ref="O17:P17"/>
    <mergeCell ref="T24:V25"/>
    <mergeCell ref="E24:G25"/>
    <mergeCell ref="H24:J25"/>
    <mergeCell ref="K24:M25"/>
    <mergeCell ref="E23:M23"/>
    <mergeCell ref="N23:V23"/>
    <mergeCell ref="N24:P25"/>
    <mergeCell ref="O16:P16"/>
    <mergeCell ref="E17:F17"/>
    <mergeCell ref="G17:H17"/>
    <mergeCell ref="I17:J17"/>
    <mergeCell ref="K17:L17"/>
    <mergeCell ref="M17:N17"/>
    <mergeCell ref="K16:L16"/>
    <mergeCell ref="M16:N16"/>
    <mergeCell ref="B15:D15"/>
    <mergeCell ref="B17:D17"/>
    <mergeCell ref="B14:D14"/>
    <mergeCell ref="E14:F14"/>
    <mergeCell ref="G14:H14"/>
    <mergeCell ref="E16:F16"/>
    <mergeCell ref="G16:H16"/>
    <mergeCell ref="I16:J16"/>
    <mergeCell ref="B16:D16"/>
    <mergeCell ref="E15:F15"/>
    <mergeCell ref="G15:H15"/>
    <mergeCell ref="I13:J13"/>
    <mergeCell ref="K13:L13"/>
    <mergeCell ref="I15:J15"/>
    <mergeCell ref="I14:J14"/>
    <mergeCell ref="E13:F13"/>
    <mergeCell ref="O13:P13"/>
    <mergeCell ref="O15:P15"/>
    <mergeCell ref="K12:L12"/>
    <mergeCell ref="M12:N12"/>
    <mergeCell ref="O12:P12"/>
    <mergeCell ref="O14:P14"/>
    <mergeCell ref="K15:L15"/>
    <mergeCell ref="M15:N15"/>
    <mergeCell ref="K14:L14"/>
    <mergeCell ref="G12:H12"/>
    <mergeCell ref="I12:J12"/>
    <mergeCell ref="M14:N14"/>
    <mergeCell ref="B13:D13"/>
    <mergeCell ref="B12:D12"/>
    <mergeCell ref="E12:F12"/>
    <mergeCell ref="M13:N13"/>
    <mergeCell ref="B5:P6"/>
    <mergeCell ref="M11:N11"/>
    <mergeCell ref="O11:P11"/>
    <mergeCell ref="B11:D11"/>
    <mergeCell ref="E11:F11"/>
    <mergeCell ref="G11:H11"/>
    <mergeCell ref="I11:J11"/>
    <mergeCell ref="K11:L11"/>
    <mergeCell ref="B7:D9"/>
    <mergeCell ref="E7:P7"/>
    <mergeCell ref="K9:L10"/>
    <mergeCell ref="M9:N10"/>
    <mergeCell ref="B10:C10"/>
    <mergeCell ref="E8:J8"/>
    <mergeCell ref="K8:P8"/>
    <mergeCell ref="E9:F10"/>
    <mergeCell ref="G9:H10"/>
    <mergeCell ref="I9:J10"/>
    <mergeCell ref="O9:P10"/>
    <mergeCell ref="G13:H13"/>
  </mergeCells>
  <dataValidations count="1">
    <dataValidation type="list" allowBlank="1" showInputMessage="1" showErrorMessage="1" sqref="D10 D27 D49 T6" xr:uid="{00000000-0002-0000-0600-000000000000}">
      <formula1>Local</formula1>
    </dataValidation>
  </dataValidation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80"/>
  <sheetViews>
    <sheetView workbookViewId="0">
      <selection activeCell="C13" sqref="C13"/>
    </sheetView>
  </sheetViews>
  <sheetFormatPr defaultColWidth="9.109375" defaultRowHeight="13.2"/>
  <cols>
    <col min="1" max="2" width="13.6640625" customWidth="1"/>
    <col min="3" max="3" width="27.33203125" customWidth="1"/>
    <col min="4" max="7" width="13.6640625" customWidth="1"/>
    <col min="8" max="8" width="15.33203125" customWidth="1"/>
    <col min="9" max="9" width="13.6640625" customWidth="1"/>
    <col min="10" max="10" width="15.88671875" customWidth="1"/>
    <col min="11" max="17" width="13.6640625" customWidth="1"/>
    <col min="18" max="27" width="12.6640625" customWidth="1"/>
    <col min="34" max="34" width="11" customWidth="1"/>
    <col min="35" max="35" width="12.44140625" customWidth="1"/>
    <col min="36" max="36" width="10.44140625" customWidth="1"/>
    <col min="37" max="37" width="10.6640625" customWidth="1"/>
    <col min="38" max="38" width="12.44140625" customWidth="1"/>
    <col min="39" max="39" width="10.44140625" customWidth="1"/>
    <col min="40" max="40" width="11.6640625" customWidth="1"/>
    <col min="41" max="41" width="10.44140625" customWidth="1"/>
    <col min="44" max="44" width="10.109375" customWidth="1"/>
  </cols>
  <sheetData>
    <row r="1" spans="1:53">
      <c r="L1" s="51"/>
      <c r="O1" s="1"/>
      <c r="U1" s="100"/>
    </row>
    <row r="2" spans="1:53" ht="13.8" thickBot="1">
      <c r="L2" s="51"/>
      <c r="O2" s="1"/>
      <c r="U2" s="100"/>
    </row>
    <row r="3" spans="1:53" ht="13.8" thickTop="1">
      <c r="A3" s="98"/>
      <c r="B3" s="705" t="s">
        <v>289</v>
      </c>
      <c r="C3" s="705"/>
      <c r="D3" s="705"/>
      <c r="E3" s="705"/>
      <c r="F3" s="705"/>
      <c r="G3" s="705"/>
      <c r="H3" s="705"/>
      <c r="I3" s="705"/>
      <c r="J3" s="705"/>
      <c r="K3" s="96"/>
      <c r="L3" s="72"/>
      <c r="M3" s="72"/>
      <c r="N3" s="72"/>
      <c r="O3" s="72"/>
      <c r="P3" s="72"/>
      <c r="Q3" s="72"/>
      <c r="R3" s="72"/>
      <c r="S3" s="72"/>
      <c r="T3" s="72"/>
      <c r="U3" s="101"/>
      <c r="V3" s="101"/>
      <c r="W3" s="15"/>
      <c r="X3" s="15"/>
      <c r="Y3" s="15"/>
      <c r="AH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ht="13.8" thickBot="1">
      <c r="A4" s="15"/>
      <c r="B4" s="706"/>
      <c r="C4" s="706"/>
      <c r="D4" s="706"/>
      <c r="E4" s="706"/>
      <c r="F4" s="706"/>
      <c r="G4" s="706"/>
      <c r="H4" s="706"/>
      <c r="I4" s="706"/>
      <c r="J4" s="706"/>
      <c r="K4" s="1"/>
      <c r="L4" s="72"/>
      <c r="M4" s="72"/>
      <c r="N4" s="72"/>
      <c r="O4" s="72"/>
      <c r="P4" s="72"/>
      <c r="Q4" s="72"/>
      <c r="R4" s="72"/>
      <c r="S4" s="72"/>
      <c r="T4" s="72"/>
      <c r="U4" s="101"/>
      <c r="V4" s="101"/>
      <c r="W4" s="1"/>
      <c r="X4" s="1"/>
      <c r="Y4" s="1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>
      <c r="B5" s="529" t="s">
        <v>28</v>
      </c>
      <c r="C5" s="554"/>
      <c r="D5" s="70" t="s">
        <v>29</v>
      </c>
      <c r="E5" s="70" t="s">
        <v>30</v>
      </c>
      <c r="F5" s="70" t="s">
        <v>31</v>
      </c>
      <c r="G5" s="70" t="s">
        <v>32</v>
      </c>
      <c r="H5" s="70" t="s">
        <v>33</v>
      </c>
      <c r="I5" s="70" t="s">
        <v>34</v>
      </c>
      <c r="J5" s="102" t="s">
        <v>35</v>
      </c>
      <c r="K5" s="20"/>
      <c r="L5" s="71"/>
      <c r="M5" s="71"/>
      <c r="N5" s="71"/>
      <c r="O5" s="96"/>
      <c r="P5" s="96"/>
      <c r="Q5" s="96"/>
      <c r="R5" s="96"/>
      <c r="S5" s="96"/>
      <c r="T5" s="96"/>
      <c r="W5" s="96"/>
      <c r="X5" s="96"/>
      <c r="Y5" s="96"/>
      <c r="AH5" s="15"/>
      <c r="AI5" s="15"/>
      <c r="AJ5" s="15"/>
      <c r="AK5" s="1"/>
      <c r="AL5" s="15"/>
      <c r="AM5" s="1"/>
      <c r="AN5" s="1"/>
      <c r="AO5" s="1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6" spans="1:53" ht="19.8" customHeight="1">
      <c r="B6" s="735" t="s">
        <v>567</v>
      </c>
      <c r="C6" s="374"/>
      <c r="D6" s="549" t="s">
        <v>592</v>
      </c>
      <c r="E6" s="639"/>
      <c r="F6" s="639"/>
      <c r="G6" s="533" t="s">
        <v>591</v>
      </c>
      <c r="H6" s="549" t="s">
        <v>77</v>
      </c>
      <c r="I6" s="549" t="s">
        <v>291</v>
      </c>
      <c r="J6" s="346" t="s">
        <v>593</v>
      </c>
      <c r="L6" s="101"/>
      <c r="M6" s="101"/>
      <c r="N6" s="101"/>
      <c r="O6" s="96"/>
      <c r="P6" s="96"/>
      <c r="Q6" s="96"/>
      <c r="S6" s="15"/>
      <c r="W6" s="15"/>
      <c r="X6" s="15"/>
      <c r="Y6" s="15"/>
      <c r="AH6" s="15"/>
      <c r="AI6" s="15"/>
      <c r="AJ6" s="1"/>
      <c r="AK6" s="1"/>
      <c r="AL6" s="1"/>
      <c r="AM6" s="1"/>
      <c r="AN6" s="1"/>
      <c r="AO6" s="1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ht="19.8" customHeight="1">
      <c r="B7" s="736" t="s">
        <v>588</v>
      </c>
      <c r="C7" s="737"/>
      <c r="D7" s="639"/>
      <c r="E7" s="639"/>
      <c r="F7" s="639"/>
      <c r="G7" s="574"/>
      <c r="H7" s="707"/>
      <c r="I7" s="549"/>
      <c r="J7" s="353"/>
      <c r="L7" s="55"/>
      <c r="M7" s="1"/>
      <c r="N7" s="1"/>
      <c r="O7" s="103"/>
      <c r="P7" s="103"/>
      <c r="Q7" s="103"/>
      <c r="R7" s="103"/>
      <c r="S7" s="103"/>
      <c r="T7" s="103"/>
      <c r="U7" s="103"/>
      <c r="V7" s="103"/>
      <c r="W7" s="1"/>
      <c r="X7" s="15"/>
      <c r="Y7" s="1"/>
      <c r="AH7" s="1"/>
      <c r="AI7" s="1"/>
      <c r="AJ7" s="1"/>
      <c r="AK7" s="1"/>
      <c r="AL7" s="104"/>
      <c r="AM7" s="104"/>
      <c r="AN7" s="104"/>
      <c r="AO7" s="104"/>
      <c r="AR7" s="51"/>
      <c r="AS7" s="58"/>
      <c r="AT7" s="58"/>
      <c r="AU7" s="58"/>
      <c r="AV7" s="58"/>
      <c r="AW7" s="58"/>
      <c r="AX7" s="58"/>
      <c r="AY7" s="58"/>
      <c r="AZ7" s="58"/>
      <c r="BA7" s="58"/>
    </row>
    <row r="8" spans="1:53" ht="19.8" customHeight="1">
      <c r="B8" s="738"/>
      <c r="C8" s="739"/>
      <c r="D8" s="551"/>
      <c r="E8" s="551"/>
      <c r="F8" s="551"/>
      <c r="G8" s="574"/>
      <c r="H8" s="707"/>
      <c r="I8" s="551"/>
      <c r="J8" s="353"/>
      <c r="K8" s="105"/>
      <c r="O8" s="65"/>
      <c r="P8" s="65"/>
      <c r="Q8" s="65"/>
      <c r="R8" s="65"/>
      <c r="S8" s="65"/>
      <c r="T8" s="65"/>
      <c r="U8" s="65"/>
      <c r="V8" s="65"/>
      <c r="W8" s="1"/>
      <c r="X8" s="1"/>
      <c r="Y8" s="1"/>
      <c r="AH8" s="1"/>
      <c r="AI8" s="1"/>
      <c r="AJ8" s="1"/>
      <c r="AK8" s="1"/>
      <c r="AL8" s="106"/>
      <c r="AM8" s="106"/>
      <c r="AN8" s="106"/>
      <c r="AO8" s="106"/>
      <c r="AR8" s="51"/>
      <c r="AS8" s="58"/>
      <c r="AT8" s="58"/>
      <c r="AU8" s="58"/>
      <c r="AV8" s="58"/>
      <c r="AW8" s="58"/>
      <c r="AX8" s="58"/>
      <c r="AY8" s="58"/>
      <c r="AZ8" s="58"/>
      <c r="BA8" s="58"/>
    </row>
    <row r="9" spans="1:53" ht="13.2" customHeight="1">
      <c r="A9" s="15"/>
      <c r="B9" s="738"/>
      <c r="C9" s="739"/>
      <c r="D9" s="520" t="s">
        <v>140</v>
      </c>
      <c r="E9" s="520" t="s">
        <v>589</v>
      </c>
      <c r="F9" s="520" t="s">
        <v>590</v>
      </c>
      <c r="G9" s="742"/>
      <c r="H9" s="707"/>
      <c r="I9" s="710" t="s">
        <v>294</v>
      </c>
      <c r="J9" s="745"/>
      <c r="K9" s="20"/>
      <c r="M9" s="197"/>
      <c r="N9" s="93"/>
      <c r="O9" s="94"/>
      <c r="P9" s="94"/>
      <c r="Q9" s="94"/>
      <c r="R9" s="64"/>
      <c r="S9" s="64"/>
      <c r="T9" s="64"/>
      <c r="U9" s="64"/>
      <c r="V9" s="64"/>
      <c r="AH9" s="55"/>
      <c r="AI9" s="1"/>
      <c r="AJ9" s="107"/>
      <c r="AK9" s="1"/>
      <c r="AL9" s="108"/>
      <c r="AM9" s="108"/>
      <c r="AN9" s="109"/>
      <c r="AO9" s="109"/>
      <c r="AR9" s="51"/>
      <c r="AS9" s="58"/>
      <c r="AT9" s="58"/>
      <c r="AU9" s="58"/>
      <c r="AV9" s="58"/>
      <c r="AW9" s="58"/>
      <c r="AX9" s="58"/>
      <c r="AY9" s="58"/>
      <c r="AZ9" s="58"/>
      <c r="BA9" s="58"/>
    </row>
    <row r="10" spans="1:53" ht="13.2" customHeight="1">
      <c r="A10" s="15"/>
      <c r="B10" s="738"/>
      <c r="C10" s="739"/>
      <c r="D10" s="524"/>
      <c r="E10" s="524"/>
      <c r="F10" s="524"/>
      <c r="G10" s="574"/>
      <c r="H10" s="551"/>
      <c r="I10" s="710"/>
      <c r="J10" s="340" t="s">
        <v>569</v>
      </c>
      <c r="K10" s="20"/>
      <c r="M10" s="93"/>
      <c r="N10" s="93"/>
      <c r="O10" s="94"/>
      <c r="P10" s="94"/>
      <c r="Q10" s="94"/>
      <c r="R10" s="64"/>
      <c r="S10" s="64"/>
      <c r="T10" s="64"/>
      <c r="U10" s="64"/>
      <c r="V10" s="64"/>
      <c r="AH10" s="55"/>
      <c r="AI10" s="1"/>
      <c r="AJ10" s="107"/>
      <c r="AK10" s="1"/>
      <c r="AL10" s="108"/>
      <c r="AM10" s="108"/>
      <c r="AN10" s="109"/>
      <c r="AO10" s="109"/>
      <c r="AR10" s="51"/>
      <c r="AS10" s="58"/>
      <c r="AT10" s="58"/>
      <c r="AU10" s="58"/>
      <c r="AV10" s="58"/>
      <c r="AW10" s="58"/>
      <c r="AX10" s="58"/>
      <c r="AY10" s="58"/>
      <c r="AZ10" s="58"/>
      <c r="BA10" s="58"/>
    </row>
    <row r="11" spans="1:53" ht="13.2" customHeight="1" thickBot="1">
      <c r="A11" s="51"/>
      <c r="B11" s="740"/>
      <c r="C11" s="741"/>
      <c r="D11" s="709"/>
      <c r="E11" s="709"/>
      <c r="F11" s="709"/>
      <c r="G11" s="743"/>
      <c r="H11" s="708"/>
      <c r="I11" s="708"/>
      <c r="J11" s="744"/>
      <c r="K11" s="100"/>
      <c r="L11" s="93"/>
      <c r="M11" s="93"/>
      <c r="N11" s="93"/>
      <c r="O11" s="64"/>
      <c r="P11" s="64"/>
      <c r="Q11" s="64"/>
      <c r="R11" s="64"/>
      <c r="S11" s="64"/>
      <c r="T11" s="64"/>
      <c r="U11" s="64"/>
      <c r="V11" s="64"/>
      <c r="W11" s="14"/>
      <c r="X11" s="14"/>
      <c r="Y11" s="14"/>
      <c r="AH11" s="1"/>
      <c r="AI11" s="1"/>
      <c r="AJ11" s="1"/>
      <c r="AK11" s="1"/>
      <c r="AL11" s="108"/>
      <c r="AM11" s="108"/>
      <c r="AN11" s="108"/>
      <c r="AO11" s="108"/>
      <c r="AR11" s="51"/>
      <c r="AS11" s="58"/>
      <c r="AT11" s="58"/>
      <c r="AU11" s="58"/>
      <c r="AV11" s="58"/>
      <c r="AW11" s="58"/>
      <c r="AX11" s="58"/>
      <c r="AY11" s="58"/>
      <c r="AZ11" s="58"/>
      <c r="BA11" s="58"/>
    </row>
    <row r="12" spans="1:53">
      <c r="A12" s="51"/>
      <c r="B12" s="411" t="s">
        <v>295</v>
      </c>
      <c r="C12" s="411"/>
      <c r="D12" s="411"/>
      <c r="E12" s="411"/>
      <c r="F12" s="411"/>
      <c r="G12" s="411"/>
      <c r="H12" s="411"/>
      <c r="I12" s="411"/>
      <c r="J12" s="411"/>
      <c r="K12" s="100"/>
      <c r="L12" s="93"/>
      <c r="M12" s="93"/>
      <c r="N12" s="93"/>
      <c r="O12" s="64"/>
      <c r="P12" s="64"/>
      <c r="Q12" s="64"/>
      <c r="R12" s="64"/>
      <c r="S12" s="64"/>
      <c r="T12" s="64"/>
      <c r="U12" s="64"/>
      <c r="V12" s="64"/>
      <c r="W12" s="14"/>
      <c r="X12" s="14"/>
      <c r="Y12" s="14"/>
      <c r="AH12" s="1"/>
      <c r="AI12" s="1"/>
      <c r="AJ12" s="1"/>
      <c r="AK12" s="1"/>
      <c r="AL12" s="108"/>
      <c r="AM12" s="108"/>
      <c r="AN12" s="108"/>
      <c r="AO12" s="108"/>
      <c r="AR12" s="51"/>
      <c r="AS12" s="58"/>
      <c r="AT12" s="58"/>
      <c r="AU12" s="58"/>
      <c r="AV12" s="58"/>
      <c r="AW12" s="58"/>
      <c r="AX12" s="58"/>
      <c r="AY12" s="58"/>
      <c r="AZ12" s="58"/>
      <c r="BA12" s="58"/>
    </row>
    <row r="13" spans="1:53">
      <c r="A13" s="51"/>
      <c r="B13" s="52" t="s">
        <v>343</v>
      </c>
      <c r="C13" s="239" t="s">
        <v>568</v>
      </c>
      <c r="D13" s="13">
        <f>E13+F13</f>
        <v>3.5838434446793892</v>
      </c>
      <c r="E13" s="13">
        <f>IF(LEN($C13)&gt;0,'Segment 1'!G85,0)</f>
        <v>1.23284214496971</v>
      </c>
      <c r="F13" s="13">
        <f>IF(LEN($C13)&gt;0,'Segment 1'!G86,0)</f>
        <v>2.3510012997096794</v>
      </c>
      <c r="G13" s="199">
        <v>10</v>
      </c>
      <c r="H13" s="13">
        <f>+'Segment 1'!D50</f>
        <v>0.247</v>
      </c>
      <c r="I13" s="110">
        <f>1/(1+H13*D13)</f>
        <v>0.53044507240829808</v>
      </c>
      <c r="J13" s="184">
        <f>IF(LEN($C13)&gt;0,I13*+D13+((1-I13)*G13),0)</f>
        <v>6.5965813714299815</v>
      </c>
      <c r="K13" s="100"/>
      <c r="L13" s="93"/>
      <c r="M13" s="93"/>
      <c r="N13" s="93"/>
      <c r="O13" s="64"/>
      <c r="P13" s="64"/>
      <c r="Q13" s="64"/>
      <c r="R13" s="64"/>
      <c r="S13" s="64"/>
      <c r="T13" s="64"/>
      <c r="U13" s="64"/>
      <c r="V13" s="64"/>
      <c r="W13" s="14"/>
      <c r="X13" s="14"/>
      <c r="Y13" s="14"/>
      <c r="AH13" s="111"/>
      <c r="AI13" s="112"/>
      <c r="AJ13" s="107"/>
      <c r="AK13" s="1"/>
      <c r="AL13" s="108"/>
      <c r="AM13" s="108"/>
      <c r="AN13" s="109"/>
      <c r="AO13" s="109"/>
      <c r="AR13" s="86"/>
    </row>
    <row r="14" spans="1:53">
      <c r="A14" s="51"/>
      <c r="B14" s="52" t="s">
        <v>344</v>
      </c>
      <c r="C14" s="239" t="s">
        <v>568</v>
      </c>
      <c r="D14" s="13">
        <f>E14+F14</f>
        <v>0.30160837262157819</v>
      </c>
      <c r="E14" s="13">
        <f>IF(LEN($C14)&gt;0,'Segment 2'!G85,0)</f>
        <v>0.10375328018182291</v>
      </c>
      <c r="F14" s="13">
        <f>IF(LEN($C14)&gt;0,'Segment 2'!G86,0)</f>
        <v>0.1978550924397553</v>
      </c>
      <c r="G14" s="199">
        <v>2</v>
      </c>
      <c r="H14" s="13">
        <f>+'Segment 2'!D50</f>
        <v>0.247</v>
      </c>
      <c r="I14" s="110">
        <f>1/(1+H14*D14)</f>
        <v>0.93066779204232675</v>
      </c>
      <c r="J14" s="184">
        <f t="shared" ref="J14:J20" si="0">IF(LEN($C14)&gt;0,I14*+D14+((1-I14)*G14),0)</f>
        <v>0.41936161412455003</v>
      </c>
      <c r="K14" s="100"/>
      <c r="L14" s="93"/>
      <c r="M14" s="93"/>
      <c r="N14" s="93"/>
      <c r="O14" s="64"/>
      <c r="P14" s="64"/>
      <c r="Q14" s="64"/>
      <c r="R14" s="64"/>
      <c r="S14" s="64"/>
      <c r="T14" s="64"/>
      <c r="U14" s="64"/>
      <c r="V14" s="64"/>
      <c r="W14" s="14"/>
      <c r="X14" s="14"/>
      <c r="Y14" s="14"/>
      <c r="AH14" s="112"/>
      <c r="AI14" s="112"/>
      <c r="AJ14" s="1"/>
      <c r="AK14" s="1"/>
      <c r="AL14" s="108"/>
      <c r="AM14" s="108"/>
      <c r="AN14" s="108"/>
      <c r="AO14" s="108"/>
    </row>
    <row r="15" spans="1:53">
      <c r="A15" s="51"/>
      <c r="B15" s="52" t="s">
        <v>296</v>
      </c>
      <c r="C15" s="240"/>
      <c r="D15" s="243">
        <f t="shared" ref="D15:D20" si="1">E15+F15</f>
        <v>0</v>
      </c>
      <c r="E15" s="185"/>
      <c r="F15" s="185"/>
      <c r="G15" s="177"/>
      <c r="H15" s="185"/>
      <c r="I15" s="110">
        <f t="shared" ref="I15:I20" si="2">1/(1+H15*D15)</f>
        <v>1</v>
      </c>
      <c r="J15" s="184">
        <f t="shared" si="0"/>
        <v>0</v>
      </c>
      <c r="K15" s="100"/>
      <c r="L15" s="93"/>
      <c r="M15" s="93"/>
      <c r="N15" s="93"/>
      <c r="O15" s="64"/>
      <c r="P15" s="64"/>
      <c r="Q15" s="64"/>
      <c r="R15" s="64"/>
      <c r="S15" s="64"/>
      <c r="T15" s="64"/>
      <c r="U15" s="64"/>
      <c r="V15" s="64"/>
      <c r="W15" s="14"/>
      <c r="X15" s="14"/>
      <c r="Y15" s="14"/>
      <c r="AH15" s="112"/>
      <c r="AI15" s="112"/>
      <c r="AJ15" s="107"/>
      <c r="AK15" s="58"/>
      <c r="AL15" s="58"/>
      <c r="AM15" s="58"/>
      <c r="AN15" s="58"/>
      <c r="AO15" s="58"/>
    </row>
    <row r="16" spans="1:53">
      <c r="A16" s="51"/>
      <c r="B16" s="52" t="s">
        <v>297</v>
      </c>
      <c r="C16" s="239"/>
      <c r="D16" s="244">
        <f t="shared" si="1"/>
        <v>0</v>
      </c>
      <c r="E16" s="186"/>
      <c r="F16" s="186"/>
      <c r="G16" s="178"/>
      <c r="H16" s="186"/>
      <c r="I16" s="110">
        <f t="shared" si="2"/>
        <v>1</v>
      </c>
      <c r="J16" s="184">
        <f t="shared" si="0"/>
        <v>0</v>
      </c>
      <c r="K16" s="100"/>
      <c r="L16" s="93"/>
      <c r="M16" s="93"/>
      <c r="N16" s="93"/>
      <c r="O16" s="64"/>
      <c r="P16" s="64"/>
      <c r="Q16" s="64"/>
      <c r="R16" s="64"/>
      <c r="S16" s="64"/>
      <c r="T16" s="64"/>
      <c r="U16" s="64"/>
      <c r="V16" s="64"/>
      <c r="W16" s="14"/>
      <c r="X16" s="14"/>
      <c r="Y16" s="14"/>
      <c r="AH16" s="74"/>
      <c r="AI16" s="74"/>
      <c r="AJ16" s="46"/>
      <c r="AK16" s="46"/>
      <c r="AL16" s="46"/>
      <c r="AM16" s="46"/>
      <c r="AN16" s="46"/>
      <c r="AO16" s="46"/>
    </row>
    <row r="17" spans="1:48">
      <c r="A17" s="51"/>
      <c r="B17" s="52" t="s">
        <v>298</v>
      </c>
      <c r="C17" s="239"/>
      <c r="D17" s="243">
        <f t="shared" si="1"/>
        <v>0</v>
      </c>
      <c r="E17" s="185"/>
      <c r="F17" s="185"/>
      <c r="G17" s="177"/>
      <c r="H17" s="185"/>
      <c r="I17" s="110">
        <f t="shared" si="2"/>
        <v>1</v>
      </c>
      <c r="J17" s="184">
        <f t="shared" si="0"/>
        <v>0</v>
      </c>
      <c r="K17" s="100"/>
      <c r="L17" s="51"/>
      <c r="O17" s="64"/>
      <c r="P17" s="64"/>
      <c r="Q17" s="64"/>
      <c r="R17" s="64"/>
      <c r="S17" s="64"/>
      <c r="T17" s="64"/>
      <c r="U17" s="64"/>
      <c r="V17" s="64"/>
      <c r="W17" s="14"/>
      <c r="X17" s="14"/>
      <c r="Y17" s="14"/>
      <c r="AH17" s="46"/>
      <c r="AI17" s="46"/>
      <c r="AJ17" s="46"/>
      <c r="AK17" s="46"/>
      <c r="AL17" s="46"/>
      <c r="AM17" s="46"/>
      <c r="AN17" s="46"/>
      <c r="AO17" s="46"/>
      <c r="AR17" s="51"/>
      <c r="AV17" s="58"/>
    </row>
    <row r="18" spans="1:48">
      <c r="A18" s="51"/>
      <c r="B18" s="52" t="s">
        <v>299</v>
      </c>
      <c r="C18" s="240"/>
      <c r="D18" s="244">
        <f t="shared" si="1"/>
        <v>0</v>
      </c>
      <c r="E18" s="186"/>
      <c r="F18" s="186"/>
      <c r="G18" s="178"/>
      <c r="H18" s="186"/>
      <c r="I18" s="110">
        <f t="shared" si="2"/>
        <v>1</v>
      </c>
      <c r="J18" s="184">
        <f t="shared" si="0"/>
        <v>0</v>
      </c>
      <c r="K18" s="100"/>
      <c r="L18" s="95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14"/>
      <c r="X18" s="14"/>
      <c r="Y18" s="14"/>
      <c r="AH18" s="46"/>
      <c r="AI18" s="74"/>
      <c r="AJ18" s="46"/>
      <c r="AK18" s="46"/>
      <c r="AL18" s="46"/>
      <c r="AM18" s="46"/>
      <c r="AN18" s="46"/>
      <c r="AO18" s="46"/>
    </row>
    <row r="19" spans="1:48">
      <c r="A19" s="51"/>
      <c r="B19" s="52" t="s">
        <v>300</v>
      </c>
      <c r="C19" s="239"/>
      <c r="D19" s="243">
        <f t="shared" si="1"/>
        <v>0</v>
      </c>
      <c r="E19" s="185"/>
      <c r="F19" s="185"/>
      <c r="G19" s="177"/>
      <c r="H19" s="185"/>
      <c r="I19" s="110">
        <f t="shared" si="2"/>
        <v>1</v>
      </c>
      <c r="J19" s="184">
        <f t="shared" si="0"/>
        <v>0</v>
      </c>
      <c r="K19" s="2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4"/>
      <c r="X19" s="14"/>
      <c r="Y19" s="14"/>
      <c r="AH19" s="46"/>
      <c r="AI19" s="46"/>
      <c r="AJ19" s="46"/>
      <c r="AK19" s="46"/>
      <c r="AL19" s="46"/>
      <c r="AM19" s="46"/>
      <c r="AN19" s="46"/>
      <c r="AO19" s="46"/>
      <c r="AR19" s="51"/>
      <c r="AV19" s="58"/>
    </row>
    <row r="20" spans="1:48" ht="13.8" thickBot="1">
      <c r="A20" s="51"/>
      <c r="B20" s="54" t="s">
        <v>301</v>
      </c>
      <c r="C20" s="241"/>
      <c r="D20" s="245">
        <f t="shared" si="1"/>
        <v>0</v>
      </c>
      <c r="E20" s="194"/>
      <c r="F20" s="194"/>
      <c r="G20" s="180"/>
      <c r="H20" s="194"/>
      <c r="I20" s="110">
        <f t="shared" si="2"/>
        <v>1</v>
      </c>
      <c r="J20" s="184">
        <f t="shared" si="0"/>
        <v>0</v>
      </c>
      <c r="K20" s="19"/>
      <c r="L20" s="72"/>
      <c r="M20" s="72"/>
      <c r="N20" s="72"/>
      <c r="O20" s="72"/>
      <c r="P20" s="72"/>
      <c r="Q20" s="72"/>
      <c r="R20" s="72"/>
      <c r="S20" s="72"/>
      <c r="T20" s="72"/>
      <c r="U20" s="101"/>
      <c r="V20" s="101"/>
      <c r="W20" s="14"/>
      <c r="X20" s="14"/>
      <c r="Y20" s="14"/>
    </row>
    <row r="21" spans="1:48">
      <c r="B21" s="411" t="s">
        <v>302</v>
      </c>
      <c r="C21" s="411"/>
      <c r="D21" s="411"/>
      <c r="E21" s="411"/>
      <c r="F21" s="411"/>
      <c r="G21" s="411"/>
      <c r="H21" s="411"/>
      <c r="I21" s="411"/>
      <c r="J21" s="411"/>
      <c r="K21" s="96"/>
      <c r="L21" s="72"/>
      <c r="M21" s="72"/>
      <c r="N21" s="72"/>
      <c r="O21" s="72"/>
      <c r="P21" s="72"/>
      <c r="Q21" s="72"/>
      <c r="R21" s="72"/>
      <c r="S21" s="72"/>
      <c r="T21" s="72"/>
      <c r="U21" s="101"/>
      <c r="V21" s="101"/>
      <c r="W21" s="1"/>
      <c r="X21" s="1"/>
      <c r="Y21" s="1"/>
      <c r="Z21" s="1"/>
      <c r="AA21" s="1"/>
      <c r="AB21" s="1"/>
      <c r="AC21" s="1"/>
      <c r="AD21" s="1"/>
      <c r="AE21" s="1"/>
      <c r="AH21" s="15"/>
      <c r="AI21" s="15"/>
      <c r="AJ21" s="15"/>
      <c r="AK21" s="15"/>
      <c r="AL21" s="15"/>
      <c r="AM21" s="1"/>
      <c r="AN21" s="1"/>
      <c r="AO21" s="1"/>
    </row>
    <row r="22" spans="1:48">
      <c r="A22" s="85"/>
      <c r="B22" s="52" t="s">
        <v>303</v>
      </c>
      <c r="C22" s="239" t="s">
        <v>568</v>
      </c>
      <c r="D22" s="13">
        <f t="shared" ref="D22:D29" si="3">E22+F22</f>
        <v>0.46837687677405304</v>
      </c>
      <c r="E22" s="13">
        <f>IF(LEN($C22)&gt;0,'Intersection 1'!I70,0)</f>
        <v>0.15690625371930778</v>
      </c>
      <c r="F22" s="113">
        <f>IF(LEN($C22)&gt;0,'Intersection 1'!I71,0)</f>
        <v>0.31147062305474527</v>
      </c>
      <c r="G22" s="200">
        <v>3</v>
      </c>
      <c r="H22" s="113">
        <f>+'Intersection 1'!E34</f>
        <v>0.40500000000000003</v>
      </c>
      <c r="I22" s="110">
        <f>1/(1+H22*D22)</f>
        <v>0.8405532408136791</v>
      </c>
      <c r="J22" s="184">
        <f t="shared" ref="J22:J29" si="4">IF(LEN($C22)&gt;0,I22*+D22+((1-I22)*G22),0)</f>
        <v>0.87203597925358212</v>
      </c>
      <c r="K22" s="20"/>
      <c r="L22" s="101"/>
      <c r="M22" s="101"/>
      <c r="N22" s="101"/>
      <c r="O22" s="15"/>
      <c r="P22" s="1"/>
      <c r="Q22" s="15"/>
      <c r="S22" s="15"/>
      <c r="T22" s="1"/>
      <c r="U22" s="15"/>
      <c r="W22" s="96"/>
      <c r="X22" s="96"/>
      <c r="Y22" s="96"/>
      <c r="Z22" s="96"/>
      <c r="AA22" s="96"/>
      <c r="AB22" s="96"/>
      <c r="AC22" s="96"/>
      <c r="AD22" s="96"/>
      <c r="AE22" s="96"/>
      <c r="AH22" s="15"/>
      <c r="AI22" s="15"/>
      <c r="AJ22" s="15"/>
      <c r="AK22" s="1"/>
      <c r="AL22" s="15"/>
      <c r="AM22" s="1"/>
      <c r="AN22" s="1"/>
      <c r="AO22" s="1"/>
    </row>
    <row r="23" spans="1:48">
      <c r="A23" s="114"/>
      <c r="B23" s="195" t="s">
        <v>304</v>
      </c>
      <c r="C23" s="239" t="s">
        <v>568</v>
      </c>
      <c r="D23" s="13">
        <f t="shared" si="3"/>
        <v>2.5347250103428056</v>
      </c>
      <c r="E23" s="110">
        <f>IF(LEN($C23)&gt;0,'Intersection 2'!I70,0)</f>
        <v>0.82632035337175458</v>
      </c>
      <c r="F23" s="181">
        <f>IF(LEN($C23)&gt;0,'Intersection 2'!I71,0)</f>
        <v>1.7084046569710511</v>
      </c>
      <c r="G23" s="200">
        <v>2</v>
      </c>
      <c r="H23" s="87">
        <f>+'Intersection 2'!E34</f>
        <v>0.59899999999999998</v>
      </c>
      <c r="I23" s="110">
        <f t="shared" ref="I23:I29" si="5">1/(1+H23*D23)</f>
        <v>0.39709323287107695</v>
      </c>
      <c r="J23" s="184">
        <f t="shared" si="4"/>
        <v>2.2123356830540448</v>
      </c>
      <c r="L23" s="55"/>
      <c r="M23" s="1"/>
      <c r="N23" s="1"/>
      <c r="O23" s="1"/>
      <c r="P23" s="1"/>
      <c r="S23" s="1"/>
      <c r="T23" s="1"/>
      <c r="W23" s="72"/>
      <c r="X23" s="72"/>
      <c r="Y23" s="72"/>
      <c r="Z23" s="72"/>
      <c r="AA23" s="72"/>
      <c r="AB23" s="72"/>
      <c r="AC23" s="72"/>
      <c r="AD23" s="72"/>
      <c r="AE23" s="72"/>
      <c r="AH23" s="15"/>
      <c r="AI23" s="15"/>
      <c r="AJ23" s="1"/>
      <c r="AK23" s="1"/>
      <c r="AL23" s="1"/>
      <c r="AM23" s="1"/>
      <c r="AN23" s="1"/>
      <c r="AO23" s="1"/>
    </row>
    <row r="24" spans="1:48">
      <c r="A24" s="101"/>
      <c r="B24" s="52" t="s">
        <v>305</v>
      </c>
      <c r="C24" s="240"/>
      <c r="D24" s="243">
        <f t="shared" si="3"/>
        <v>0</v>
      </c>
      <c r="E24" s="185"/>
      <c r="F24" s="185"/>
      <c r="G24" s="177"/>
      <c r="H24" s="185"/>
      <c r="I24" s="110">
        <f t="shared" si="5"/>
        <v>1</v>
      </c>
      <c r="J24" s="184">
        <f t="shared" si="4"/>
        <v>0</v>
      </c>
      <c r="L24" s="101"/>
      <c r="W24" s="72"/>
      <c r="X24" s="72"/>
      <c r="Y24" s="72"/>
      <c r="Z24" s="72"/>
      <c r="AA24" s="72"/>
      <c r="AB24" s="72"/>
      <c r="AC24" s="72"/>
      <c r="AD24" s="72"/>
      <c r="AE24" s="72"/>
      <c r="AH24" s="1"/>
      <c r="AI24" s="1"/>
      <c r="AJ24" s="1"/>
      <c r="AK24" s="1"/>
      <c r="AL24" s="104"/>
      <c r="AM24" s="104"/>
      <c r="AN24" s="104"/>
      <c r="AO24" s="104"/>
    </row>
    <row r="25" spans="1:48">
      <c r="A25" s="101"/>
      <c r="B25" s="195" t="s">
        <v>306</v>
      </c>
      <c r="C25" s="239"/>
      <c r="D25" s="243">
        <f t="shared" si="3"/>
        <v>0</v>
      </c>
      <c r="E25" s="185"/>
      <c r="F25" s="185"/>
      <c r="G25" s="177"/>
      <c r="H25" s="185"/>
      <c r="I25" s="110">
        <f t="shared" si="5"/>
        <v>1</v>
      </c>
      <c r="J25" s="184">
        <f t="shared" si="4"/>
        <v>0</v>
      </c>
      <c r="O25" s="103"/>
      <c r="P25" s="103"/>
      <c r="Q25" s="103"/>
      <c r="R25" s="65"/>
      <c r="S25" s="103"/>
      <c r="T25" s="103"/>
      <c r="U25" s="103"/>
      <c r="V25" s="65"/>
      <c r="W25" s="115"/>
      <c r="X25" s="115"/>
      <c r="Y25" s="115"/>
      <c r="Z25" s="115"/>
      <c r="AA25" s="115"/>
      <c r="AB25" s="115"/>
      <c r="AC25" s="115"/>
      <c r="AD25" s="115"/>
      <c r="AE25" s="115"/>
      <c r="AH25" s="1"/>
      <c r="AI25" s="1"/>
      <c r="AJ25" s="1"/>
      <c r="AK25" s="1"/>
      <c r="AL25" s="106"/>
      <c r="AM25" s="106"/>
      <c r="AN25" s="106"/>
      <c r="AO25" s="106"/>
    </row>
    <row r="26" spans="1:48">
      <c r="A26" s="116"/>
      <c r="B26" s="52" t="s">
        <v>307</v>
      </c>
      <c r="C26" s="240"/>
      <c r="D26" s="243">
        <f t="shared" si="3"/>
        <v>0</v>
      </c>
      <c r="E26" s="185"/>
      <c r="F26" s="185"/>
      <c r="G26" s="177"/>
      <c r="H26" s="185"/>
      <c r="I26" s="110">
        <f t="shared" si="5"/>
        <v>1</v>
      </c>
      <c r="J26" s="184">
        <f t="shared" si="4"/>
        <v>0</v>
      </c>
      <c r="K26" s="105"/>
      <c r="O26" s="65"/>
      <c r="P26" s="65"/>
      <c r="Q26" s="65"/>
      <c r="R26" s="65"/>
      <c r="S26" s="65"/>
      <c r="T26" s="65"/>
      <c r="U26" s="65"/>
      <c r="V26" s="65"/>
      <c r="W26" s="117"/>
      <c r="X26" s="117"/>
      <c r="Y26" s="117"/>
      <c r="Z26" s="117"/>
      <c r="AA26" s="117"/>
      <c r="AB26" s="117"/>
      <c r="AC26" s="117"/>
      <c r="AD26" s="117"/>
      <c r="AE26" s="117"/>
      <c r="AH26" s="55"/>
      <c r="AI26" s="1"/>
      <c r="AJ26" s="107"/>
      <c r="AK26" s="1"/>
      <c r="AL26" s="108"/>
      <c r="AM26" s="108"/>
      <c r="AN26" s="109"/>
      <c r="AO26" s="109"/>
    </row>
    <row r="27" spans="1:48">
      <c r="A27" s="116"/>
      <c r="B27" s="195" t="s">
        <v>308</v>
      </c>
      <c r="C27" s="239"/>
      <c r="D27" s="243">
        <f t="shared" si="3"/>
        <v>0</v>
      </c>
      <c r="E27" s="185"/>
      <c r="F27" s="185"/>
      <c r="G27" s="177"/>
      <c r="H27" s="185"/>
      <c r="I27" s="110">
        <f t="shared" si="5"/>
        <v>1</v>
      </c>
      <c r="J27" s="184">
        <f t="shared" si="4"/>
        <v>0</v>
      </c>
      <c r="K27" s="15"/>
      <c r="L27" s="93"/>
      <c r="M27" s="1"/>
      <c r="N27" s="1"/>
      <c r="O27" s="94"/>
      <c r="P27" s="94"/>
      <c r="Q27" s="94"/>
      <c r="R27" s="1"/>
      <c r="S27" s="64"/>
      <c r="T27" s="64"/>
      <c r="U27" s="64"/>
      <c r="V27" s="64"/>
      <c r="W27" s="15"/>
      <c r="X27" s="1"/>
      <c r="Y27" s="1"/>
      <c r="Z27" s="1"/>
      <c r="AA27" s="1"/>
      <c r="AB27" s="1"/>
      <c r="AC27" s="1"/>
      <c r="AD27" s="1"/>
      <c r="AE27" s="1"/>
      <c r="AH27" s="1"/>
      <c r="AI27" s="1"/>
      <c r="AJ27" s="1"/>
      <c r="AK27" s="1"/>
      <c r="AL27" s="108"/>
      <c r="AM27" s="108"/>
      <c r="AN27" s="108"/>
      <c r="AO27" s="108"/>
    </row>
    <row r="28" spans="1:48">
      <c r="A28" s="58"/>
      <c r="B28" s="52" t="s">
        <v>309</v>
      </c>
      <c r="C28" s="239"/>
      <c r="D28" s="243">
        <f t="shared" si="3"/>
        <v>0</v>
      </c>
      <c r="E28" s="185"/>
      <c r="F28" s="185"/>
      <c r="G28" s="177"/>
      <c r="H28" s="185"/>
      <c r="I28" s="110">
        <f t="shared" si="5"/>
        <v>1</v>
      </c>
      <c r="J28" s="184">
        <f t="shared" si="4"/>
        <v>0</v>
      </c>
      <c r="K28" s="15"/>
      <c r="L28" s="93"/>
      <c r="M28" s="1"/>
      <c r="N28" s="1"/>
      <c r="O28" s="94"/>
      <c r="P28" s="94"/>
      <c r="Q28" s="94"/>
      <c r="R28" s="1"/>
      <c r="S28" s="64"/>
      <c r="T28" s="64"/>
      <c r="U28" s="64"/>
      <c r="V28" s="64"/>
      <c r="W28" s="15"/>
      <c r="X28" s="1"/>
      <c r="Y28" s="1"/>
      <c r="Z28" s="1"/>
      <c r="AA28" s="1"/>
      <c r="AB28" s="1"/>
      <c r="AC28" s="1"/>
      <c r="AD28" s="1"/>
      <c r="AE28" s="1"/>
      <c r="AH28" s="1"/>
      <c r="AI28" s="1"/>
      <c r="AJ28" s="1"/>
      <c r="AK28" s="1"/>
      <c r="AL28" s="108"/>
      <c r="AM28" s="108"/>
      <c r="AN28" s="108"/>
      <c r="AO28" s="108"/>
    </row>
    <row r="29" spans="1:48" ht="13.8" thickBot="1">
      <c r="A29" s="51"/>
      <c r="B29" s="196" t="s">
        <v>310</v>
      </c>
      <c r="C29" s="242"/>
      <c r="D29" s="246">
        <f t="shared" si="3"/>
        <v>0</v>
      </c>
      <c r="E29" s="187"/>
      <c r="F29" s="187"/>
      <c r="G29" s="198"/>
      <c r="H29" s="187"/>
      <c r="I29" s="110">
        <f t="shared" si="5"/>
        <v>1</v>
      </c>
      <c r="J29" s="184">
        <f t="shared" si="4"/>
        <v>0</v>
      </c>
      <c r="K29" s="19"/>
      <c r="L29" s="93"/>
      <c r="M29" s="93"/>
      <c r="N29" s="93"/>
      <c r="Q29" s="64"/>
      <c r="R29" s="64"/>
      <c r="S29" s="64"/>
      <c r="T29" s="64"/>
      <c r="U29" s="64"/>
      <c r="V29" s="64"/>
      <c r="W29" s="14"/>
      <c r="X29" s="14"/>
      <c r="Y29" s="14"/>
      <c r="Z29" s="14"/>
      <c r="AA29" s="14"/>
      <c r="AB29" s="14"/>
      <c r="AC29" s="14"/>
      <c r="AD29" s="14"/>
      <c r="AE29" s="14"/>
      <c r="AH29" s="111"/>
      <c r="AI29" s="112"/>
      <c r="AJ29" s="107"/>
      <c r="AK29" s="1"/>
      <c r="AL29" s="108"/>
      <c r="AM29" s="108"/>
      <c r="AN29" s="109"/>
      <c r="AO29" s="109"/>
    </row>
    <row r="30" spans="1:48" ht="14.4" thickTop="1" thickBot="1">
      <c r="A30" s="98"/>
      <c r="B30" s="703" t="s">
        <v>311</v>
      </c>
      <c r="C30" s="704"/>
      <c r="D30" s="118">
        <f>SUMIF($C13:$C20,"&lt;&gt;",D13:D20)+SUMIF($C22:$C29,"&lt;&gt;",D22:D29)</f>
        <v>6.8885537044178262</v>
      </c>
      <c r="E30" s="118">
        <f t="shared" ref="E30:F30" si="6">SUMIF($C13:$C20,"&lt;&gt;",E13:E20)+SUMIF($C22:$C29,"&lt;&gt;",E22:E29)</f>
        <v>2.3198220322425951</v>
      </c>
      <c r="F30" s="118">
        <f t="shared" si="6"/>
        <v>4.5687316721752307</v>
      </c>
      <c r="G30" s="119">
        <f>IF(COUNTBLANK(G13:G20)+COUNTBLANK(G22:G29)&lt;16,SUMIF($C13:$C20,"&lt;&gt;",G13:G20)+SUMIF($C22:$C29,"&lt;&gt;",G22:G29),"--")</f>
        <v>17</v>
      </c>
      <c r="H30" s="120" t="s">
        <v>25</v>
      </c>
      <c r="I30" s="120" t="s">
        <v>25</v>
      </c>
      <c r="J30" s="247">
        <f>SUM(J13:J20)+SUM(J22:J29)</f>
        <v>10.100314647862158</v>
      </c>
      <c r="K30" s="19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H30" s="112"/>
      <c r="AI30" s="112"/>
      <c r="AJ30" s="1"/>
      <c r="AK30" s="1"/>
      <c r="AL30" s="108"/>
      <c r="AM30" s="108"/>
      <c r="AN30" s="108"/>
      <c r="AO30" s="108"/>
    </row>
    <row r="31" spans="1:48">
      <c r="A31" s="62"/>
      <c r="B31" s="73"/>
      <c r="C31" s="85"/>
      <c r="D31" s="85"/>
      <c r="F31" s="62"/>
      <c r="H31" s="62"/>
      <c r="K31" s="19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H31" s="112"/>
      <c r="AI31" s="112"/>
      <c r="AJ31" s="107"/>
      <c r="AK31" s="58"/>
      <c r="AL31" s="58"/>
      <c r="AM31" s="58"/>
      <c r="AN31" s="58"/>
      <c r="AO31" s="58"/>
    </row>
    <row r="32" spans="1:48">
      <c r="A32" s="72"/>
      <c r="B32" s="73"/>
      <c r="C32" s="121"/>
      <c r="D32" s="72"/>
      <c r="E32" s="72"/>
      <c r="F32" s="72"/>
      <c r="G32" s="1"/>
      <c r="H32" s="72"/>
      <c r="K32" s="19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H32" s="74"/>
      <c r="AI32" s="74"/>
      <c r="AJ32" s="46"/>
      <c r="AK32" s="46"/>
      <c r="AL32" s="46"/>
      <c r="AM32" s="46"/>
      <c r="AN32" s="46"/>
      <c r="AO32" s="46"/>
    </row>
    <row r="33" spans="1:49" ht="13.8" thickBot="1">
      <c r="B33" s="73"/>
      <c r="C33" s="55"/>
      <c r="D33" s="1"/>
      <c r="E33" s="1"/>
      <c r="K33" s="19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H33" s="55"/>
      <c r="AI33" s="46"/>
      <c r="AJ33" s="46"/>
      <c r="AK33" s="46"/>
      <c r="AL33" s="46"/>
      <c r="AM33" s="46"/>
      <c r="AN33" s="46"/>
      <c r="AO33" s="46"/>
    </row>
    <row r="34" spans="1:49" ht="13.8" thickTop="1">
      <c r="B34" s="705" t="s">
        <v>312</v>
      </c>
      <c r="C34" s="705"/>
      <c r="D34" s="705"/>
      <c r="E34" s="705"/>
      <c r="F34" s="705"/>
      <c r="G34" s="705"/>
      <c r="H34" s="705"/>
      <c r="I34" s="705"/>
      <c r="J34" s="705"/>
      <c r="K34" s="19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H34" s="74"/>
      <c r="AI34" s="74"/>
      <c r="AJ34" s="46"/>
      <c r="AK34" s="46"/>
      <c r="AL34" s="46"/>
      <c r="AM34" s="46"/>
      <c r="AN34" s="46"/>
      <c r="AO34" s="46"/>
    </row>
    <row r="35" spans="1:49" ht="13.8" thickBot="1">
      <c r="B35" s="706"/>
      <c r="C35" s="706"/>
      <c r="D35" s="706"/>
      <c r="E35" s="706"/>
      <c r="F35" s="706"/>
      <c r="G35" s="706"/>
      <c r="H35" s="706"/>
      <c r="I35" s="706"/>
      <c r="J35" s="706"/>
      <c r="K35" s="19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H35" s="46"/>
      <c r="AI35" s="46"/>
      <c r="AJ35" s="46"/>
      <c r="AK35" s="46"/>
      <c r="AL35" s="46"/>
      <c r="AM35" s="46"/>
      <c r="AN35" s="46"/>
      <c r="AO35" s="46"/>
    </row>
    <row r="36" spans="1:49">
      <c r="B36" s="529" t="s">
        <v>28</v>
      </c>
      <c r="C36" s="481"/>
      <c r="D36" s="481"/>
      <c r="E36" s="525" t="s">
        <v>29</v>
      </c>
      <c r="F36" s="481"/>
      <c r="G36" s="481"/>
      <c r="H36" s="525" t="s">
        <v>30</v>
      </c>
      <c r="I36" s="481"/>
      <c r="J36" s="487"/>
      <c r="K36" s="9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5"/>
      <c r="X36" s="15"/>
      <c r="Y36" s="15"/>
      <c r="Z36" s="15"/>
      <c r="AA36" s="15"/>
      <c r="AB36" s="15"/>
      <c r="AC36" s="15"/>
      <c r="AD36" s="15"/>
      <c r="AE36" s="15"/>
      <c r="AH36" s="46"/>
      <c r="AI36" s="46"/>
      <c r="AJ36" s="46"/>
      <c r="AK36" s="46"/>
      <c r="AL36" s="46"/>
      <c r="AM36" s="46"/>
      <c r="AN36" s="46"/>
      <c r="AO36" s="46"/>
    </row>
    <row r="37" spans="1:49" ht="14.4">
      <c r="A37" s="51"/>
      <c r="B37" s="711" t="s">
        <v>117</v>
      </c>
      <c r="C37" s="267"/>
      <c r="D37" s="267"/>
      <c r="E37" s="712" t="s">
        <v>313</v>
      </c>
      <c r="F37" s="712"/>
      <c r="G37" s="712"/>
      <c r="H37" s="712" t="s">
        <v>314</v>
      </c>
      <c r="I37" s="712"/>
      <c r="J37" s="713"/>
      <c r="K37" s="19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H37" s="46"/>
      <c r="AI37" s="46"/>
      <c r="AJ37" s="46"/>
      <c r="AK37" s="46"/>
      <c r="AL37" s="46"/>
      <c r="AM37" s="46"/>
      <c r="AN37" s="46"/>
      <c r="AO37" s="46"/>
    </row>
    <row r="38" spans="1:49" ht="15.6">
      <c r="A38" s="46"/>
      <c r="B38" s="586" t="s">
        <v>85</v>
      </c>
      <c r="C38" s="715"/>
      <c r="D38" s="715"/>
      <c r="E38" s="717" t="s">
        <v>315</v>
      </c>
      <c r="F38" s="718"/>
      <c r="G38" s="718"/>
      <c r="H38" s="717" t="s">
        <v>316</v>
      </c>
      <c r="I38" s="718"/>
      <c r="J38" s="719"/>
      <c r="K38" s="19"/>
      <c r="N38" s="97"/>
      <c r="O38" s="14"/>
      <c r="P38" s="14"/>
      <c r="Q38" s="14"/>
      <c r="R38" s="14"/>
      <c r="S38" s="14"/>
      <c r="T38" s="14"/>
      <c r="U38" s="14"/>
      <c r="V38" s="14"/>
      <c r="W38" s="97"/>
      <c r="X38" s="14"/>
      <c r="Y38" s="14"/>
      <c r="Z38" s="14"/>
      <c r="AA38" s="14"/>
      <c r="AB38" s="14"/>
      <c r="AC38" s="14"/>
      <c r="AD38" s="14"/>
      <c r="AE38" s="14"/>
      <c r="AH38" s="72"/>
      <c r="AI38" s="65"/>
      <c r="AJ38" s="65"/>
      <c r="AK38" s="65"/>
      <c r="AL38" s="65"/>
      <c r="AM38" s="65"/>
      <c r="AN38" s="101"/>
    </row>
    <row r="39" spans="1:49">
      <c r="A39" s="46"/>
      <c r="B39" s="716"/>
      <c r="C39" s="715"/>
      <c r="D39" s="715"/>
      <c r="E39" s="720">
        <f>+D30</f>
        <v>6.8885537044178262</v>
      </c>
      <c r="F39" s="721"/>
      <c r="G39" s="722"/>
      <c r="H39" s="723">
        <f>+J30</f>
        <v>10.100314647862158</v>
      </c>
      <c r="I39" s="724"/>
      <c r="J39" s="724"/>
      <c r="K39" s="19"/>
      <c r="N39" s="97"/>
      <c r="O39" s="14"/>
      <c r="P39" s="14"/>
      <c r="Q39" s="14"/>
      <c r="R39" s="14"/>
      <c r="S39" s="14"/>
      <c r="T39" s="14"/>
      <c r="U39" s="14"/>
      <c r="V39" s="14"/>
      <c r="W39" s="97"/>
      <c r="X39" s="14"/>
      <c r="Y39" s="14"/>
      <c r="Z39" s="14"/>
      <c r="AA39" s="14"/>
      <c r="AB39" s="14"/>
      <c r="AC39" s="14"/>
      <c r="AD39" s="14"/>
      <c r="AE39" s="14"/>
      <c r="AH39" s="72"/>
      <c r="AI39" s="65"/>
      <c r="AJ39" s="65"/>
      <c r="AK39" s="65"/>
      <c r="AL39" s="65"/>
      <c r="AM39" s="65"/>
      <c r="AN39" s="101"/>
    </row>
    <row r="40" spans="1:49" ht="15.6">
      <c r="A40" s="95"/>
      <c r="B40" s="586" t="s">
        <v>86</v>
      </c>
      <c r="C40" s="715"/>
      <c r="D40" s="715"/>
      <c r="E40" s="717" t="s">
        <v>318</v>
      </c>
      <c r="F40" s="718"/>
      <c r="G40" s="718"/>
      <c r="H40" s="717" t="s">
        <v>319</v>
      </c>
      <c r="I40" s="718"/>
      <c r="J40" s="719"/>
      <c r="K40" s="19"/>
      <c r="N40" s="97"/>
      <c r="O40" s="14"/>
      <c r="P40" s="14"/>
      <c r="Q40" s="14"/>
      <c r="R40" s="14"/>
      <c r="S40" s="14"/>
      <c r="T40" s="14"/>
      <c r="U40" s="14"/>
      <c r="V40" s="14"/>
      <c r="W40" s="97"/>
      <c r="X40" s="14"/>
      <c r="Y40" s="14"/>
      <c r="Z40" s="14"/>
      <c r="AA40" s="14"/>
      <c r="AB40" s="14"/>
      <c r="AC40" s="14"/>
      <c r="AD40" s="14"/>
      <c r="AE40" s="14"/>
      <c r="AH40" s="72"/>
      <c r="AI40" s="65"/>
      <c r="AJ40" s="65"/>
      <c r="AK40" s="65"/>
      <c r="AL40" s="65"/>
      <c r="AM40" s="65"/>
      <c r="AN40" s="101"/>
    </row>
    <row r="41" spans="1:49">
      <c r="A41" s="63"/>
      <c r="B41" s="716"/>
      <c r="C41" s="715"/>
      <c r="D41" s="715"/>
      <c r="E41" s="725">
        <f>+E30</f>
        <v>2.3198220322425951</v>
      </c>
      <c r="F41" s="512"/>
      <c r="G41" s="726"/>
      <c r="H41" s="422">
        <f>+J30*E30/D30</f>
        <v>3.4014298876215938</v>
      </c>
      <c r="I41" s="727"/>
      <c r="J41" s="727"/>
      <c r="K41" s="19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H41" s="65"/>
      <c r="AI41" s="65"/>
      <c r="AJ41" s="65"/>
      <c r="AK41" s="65"/>
      <c r="AL41" s="65"/>
      <c r="AM41" s="65"/>
      <c r="AN41" s="101"/>
      <c r="AO41" s="77"/>
      <c r="AP41" s="77"/>
      <c r="AQ41" s="77"/>
      <c r="AR41" s="77"/>
      <c r="AS41" s="77"/>
      <c r="AT41" s="77"/>
      <c r="AU41" s="77"/>
      <c r="AV41" s="77"/>
      <c r="AW41" s="77"/>
    </row>
    <row r="42" spans="1:49" ht="15.6">
      <c r="A42" s="65"/>
      <c r="B42" s="728" t="s">
        <v>87</v>
      </c>
      <c r="C42" s="729"/>
      <c r="D42" s="729"/>
      <c r="E42" s="717" t="s">
        <v>321</v>
      </c>
      <c r="F42" s="718"/>
      <c r="G42" s="718"/>
      <c r="H42" s="717" t="s">
        <v>322</v>
      </c>
      <c r="I42" s="718"/>
      <c r="J42" s="719"/>
      <c r="K42" s="19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H42" s="98"/>
      <c r="AK42" s="15"/>
      <c r="AO42" s="1"/>
      <c r="AT42" s="1"/>
      <c r="AU42" s="1"/>
      <c r="AV42" s="1"/>
      <c r="AW42" s="1"/>
    </row>
    <row r="43" spans="1:49" ht="13.8" thickBot="1">
      <c r="A43" s="98"/>
      <c r="B43" s="730"/>
      <c r="C43" s="731"/>
      <c r="D43" s="731"/>
      <c r="E43" s="732">
        <f>+F30</f>
        <v>4.5687316721752307</v>
      </c>
      <c r="F43" s="733"/>
      <c r="G43" s="734"/>
      <c r="H43" s="415">
        <f>+J30*F30/D30</f>
        <v>6.6988847602405626</v>
      </c>
      <c r="I43" s="714"/>
      <c r="J43" s="714"/>
      <c r="K43" s="19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H43" s="105"/>
      <c r="AI43" s="73"/>
      <c r="AJ43" s="1"/>
      <c r="AK43" s="20"/>
      <c r="AL43" s="15"/>
      <c r="AM43" s="77"/>
      <c r="AO43" s="15"/>
      <c r="AT43" s="15"/>
      <c r="AU43" s="15"/>
      <c r="AV43" s="15"/>
    </row>
    <row r="44" spans="1:49">
      <c r="A44" s="62"/>
      <c r="C44" s="62"/>
      <c r="D44" s="62"/>
      <c r="E44" s="62"/>
      <c r="F44" s="85"/>
      <c r="G44" s="62"/>
      <c r="H44" s="62"/>
      <c r="I44" s="85"/>
      <c r="K44" s="19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H44" s="55"/>
      <c r="AI44" s="1"/>
      <c r="AK44" s="94"/>
      <c r="AL44" s="1"/>
      <c r="AM44" s="94"/>
      <c r="AN44" s="94"/>
      <c r="AT44" s="15"/>
      <c r="AU44" s="15"/>
      <c r="AV44" s="15"/>
    </row>
    <row r="45" spans="1:49">
      <c r="A45" s="72"/>
      <c r="B45" s="72"/>
      <c r="C45" s="72"/>
      <c r="D45" s="72"/>
      <c r="F45" s="72"/>
      <c r="G45" s="72"/>
      <c r="H45" s="72"/>
      <c r="I45" s="72"/>
      <c r="K45" s="19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H45" s="55"/>
      <c r="AI45" s="1"/>
      <c r="AK45" s="94"/>
      <c r="AL45" s="1"/>
      <c r="AM45" s="94"/>
      <c r="AN45" s="94"/>
      <c r="AT45" s="15"/>
      <c r="AU45" s="15"/>
      <c r="AV45" s="20"/>
    </row>
    <row r="46" spans="1:49">
      <c r="A46" s="72"/>
      <c r="B46" s="72"/>
      <c r="C46" s="1"/>
      <c r="F46" s="1"/>
      <c r="G46" s="1"/>
      <c r="H46" s="1"/>
      <c r="I46" s="1"/>
      <c r="AH46" s="55"/>
      <c r="AI46" s="1"/>
      <c r="AK46" s="64"/>
      <c r="AL46" s="1"/>
      <c r="AM46" s="94"/>
      <c r="AN46" s="94"/>
      <c r="AT46" s="1"/>
      <c r="AU46" s="55"/>
      <c r="AV46" s="51"/>
    </row>
    <row r="47" spans="1:49">
      <c r="A47" s="1"/>
      <c r="B47" s="1"/>
      <c r="C47" s="1"/>
      <c r="F47" s="1"/>
      <c r="G47" s="1"/>
      <c r="H47" s="1"/>
      <c r="I47" s="1"/>
    </row>
    <row r="48" spans="1:49">
      <c r="A48" s="1"/>
      <c r="B48" s="1"/>
      <c r="C48" s="111"/>
      <c r="D48" s="122"/>
      <c r="E48" s="123"/>
      <c r="F48" s="111"/>
      <c r="G48" s="122"/>
      <c r="H48" s="123"/>
      <c r="I48" s="11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C50" s="64"/>
      <c r="D50" s="64"/>
      <c r="E50" s="64"/>
      <c r="F50" s="64"/>
      <c r="G50" s="64"/>
      <c r="H50" s="64"/>
      <c r="I50" s="64"/>
    </row>
    <row r="51" spans="1:9">
      <c r="A51" s="58"/>
      <c r="B51" s="58"/>
      <c r="C51" s="58"/>
      <c r="D51" s="107"/>
      <c r="E51" s="58"/>
      <c r="F51" s="58"/>
      <c r="G51" s="85"/>
      <c r="I51" s="58"/>
    </row>
    <row r="52" spans="1:9">
      <c r="A52" s="116"/>
      <c r="C52" s="64"/>
      <c r="D52" s="64"/>
      <c r="E52" s="64"/>
      <c r="F52" s="64"/>
      <c r="G52" s="64"/>
      <c r="H52" s="64"/>
      <c r="I52" s="64"/>
    </row>
    <row r="53" spans="1:9">
      <c r="A53" s="116"/>
      <c r="C53" s="64"/>
      <c r="D53" s="64"/>
      <c r="E53" s="64"/>
      <c r="F53" s="64"/>
      <c r="G53" s="64"/>
      <c r="H53" s="64"/>
      <c r="I53" s="64"/>
    </row>
    <row r="54" spans="1:9">
      <c r="A54" s="105"/>
      <c r="C54" s="64"/>
      <c r="D54" s="64"/>
      <c r="E54" s="64"/>
      <c r="F54" s="64"/>
      <c r="G54" s="64"/>
      <c r="H54" s="64"/>
      <c r="I54" s="64"/>
    </row>
    <row r="55" spans="1:9">
      <c r="A55" s="116"/>
      <c r="C55" s="64"/>
      <c r="D55" s="64"/>
      <c r="E55" s="64"/>
      <c r="F55" s="64"/>
      <c r="G55" s="64"/>
      <c r="H55" s="64"/>
      <c r="I55" s="64"/>
    </row>
    <row r="56" spans="1:9">
      <c r="A56" s="116"/>
      <c r="C56" s="64"/>
      <c r="D56" s="64"/>
      <c r="E56" s="64"/>
      <c r="F56" s="64"/>
      <c r="G56" s="64"/>
      <c r="H56" s="64"/>
      <c r="I56" s="64"/>
    </row>
    <row r="57" spans="1:9">
      <c r="A57" s="116"/>
      <c r="C57" s="64"/>
      <c r="D57" s="64"/>
      <c r="E57" s="64"/>
      <c r="F57" s="64"/>
      <c r="G57" s="64"/>
      <c r="H57" s="64"/>
      <c r="I57" s="64"/>
    </row>
    <row r="58" spans="1:9">
      <c r="A58" s="95"/>
      <c r="B58" s="73"/>
      <c r="C58" s="73"/>
      <c r="D58" s="73"/>
      <c r="E58" s="73"/>
      <c r="F58" s="73"/>
      <c r="G58" s="73"/>
      <c r="H58" s="73"/>
      <c r="I58" s="73"/>
    </row>
    <row r="59" spans="1:9">
      <c r="C59" s="64"/>
      <c r="D59" s="64"/>
      <c r="E59" s="64"/>
      <c r="F59" s="64"/>
      <c r="G59" s="1"/>
      <c r="H59" s="64"/>
      <c r="I59" s="64"/>
    </row>
    <row r="60" spans="1:9">
      <c r="A60" s="15"/>
      <c r="B60" s="1"/>
      <c r="C60" s="1"/>
      <c r="D60" s="1"/>
      <c r="E60" s="1"/>
      <c r="F60" s="1"/>
      <c r="G60" s="1"/>
    </row>
    <row r="62" spans="1:9">
      <c r="A62" s="98"/>
      <c r="B62" s="98"/>
      <c r="C62" s="98"/>
      <c r="D62" s="98"/>
      <c r="E62" s="98"/>
      <c r="F62" s="98"/>
      <c r="G62" s="98"/>
      <c r="H62" s="98"/>
      <c r="I62" s="98"/>
    </row>
    <row r="63" spans="1:9">
      <c r="A63" s="62"/>
      <c r="B63" s="62"/>
      <c r="C63" s="62"/>
      <c r="E63" s="85"/>
      <c r="F63" s="1"/>
      <c r="G63" s="1"/>
      <c r="H63" s="1"/>
      <c r="I63" s="85"/>
    </row>
    <row r="64" spans="1:9">
      <c r="A64" s="72"/>
      <c r="B64" s="72"/>
      <c r="C64" s="72"/>
      <c r="D64" s="72"/>
      <c r="E64" s="15"/>
      <c r="F64" s="15"/>
      <c r="G64" s="15"/>
      <c r="H64" s="15"/>
      <c r="I64" s="15"/>
    </row>
    <row r="65" spans="1:9">
      <c r="A65" s="101"/>
      <c r="B65" s="101"/>
      <c r="C65" s="101"/>
      <c r="D65" s="101"/>
      <c r="E65" s="85"/>
      <c r="I65" s="85"/>
    </row>
    <row r="66" spans="1:9">
      <c r="A66" s="73"/>
      <c r="B66" s="73"/>
      <c r="C66" s="73"/>
      <c r="E66" s="64"/>
      <c r="F66" s="1"/>
      <c r="G66" s="1"/>
      <c r="H66" s="1"/>
      <c r="I66" s="14"/>
    </row>
    <row r="67" spans="1:9">
      <c r="A67" s="73"/>
      <c r="B67" s="73"/>
      <c r="C67" s="73"/>
      <c r="E67" s="64"/>
      <c r="F67" s="1"/>
      <c r="G67" s="1"/>
      <c r="H67" s="1"/>
      <c r="I67" s="14"/>
    </row>
    <row r="68" spans="1:9">
      <c r="A68" s="105"/>
      <c r="B68" s="73"/>
      <c r="C68" s="73"/>
      <c r="E68" s="64"/>
      <c r="F68" s="1"/>
      <c r="G68" s="1"/>
      <c r="H68" s="1"/>
      <c r="I68" s="14"/>
    </row>
    <row r="69" spans="1:9">
      <c r="A69" s="73"/>
      <c r="B69" s="73"/>
      <c r="C69" s="73"/>
      <c r="E69" s="64"/>
      <c r="F69" s="1"/>
      <c r="G69" s="1"/>
      <c r="H69" s="1"/>
      <c r="I69" s="14"/>
    </row>
    <row r="70" spans="1:9">
      <c r="A70" s="95"/>
      <c r="B70" s="73"/>
      <c r="C70" s="73"/>
      <c r="D70" s="73"/>
      <c r="E70" s="73"/>
      <c r="F70" s="73"/>
      <c r="G70" s="73"/>
      <c r="H70" s="73"/>
      <c r="I70" s="73"/>
    </row>
    <row r="75" spans="1:9">
      <c r="A75" s="62"/>
      <c r="B75" s="62"/>
      <c r="C75" s="62"/>
      <c r="D75" s="62"/>
      <c r="E75" s="62"/>
      <c r="F75" s="62"/>
      <c r="G75" s="62"/>
      <c r="H75" s="62"/>
      <c r="I75" s="62"/>
    </row>
    <row r="76" spans="1:9">
      <c r="A76" s="71"/>
      <c r="B76" s="71"/>
      <c r="C76" s="71"/>
      <c r="D76" s="72"/>
      <c r="E76" s="72"/>
      <c r="F76" s="72"/>
      <c r="G76" s="72"/>
      <c r="I76" s="72"/>
    </row>
    <row r="77" spans="1:9">
      <c r="A77" s="71"/>
      <c r="B77" s="71"/>
      <c r="C77" s="71"/>
      <c r="D77" s="62"/>
      <c r="G77" s="62"/>
      <c r="H77" s="62"/>
      <c r="I77" s="62"/>
    </row>
    <row r="78" spans="1:9">
      <c r="A78" s="73"/>
      <c r="B78" s="73"/>
      <c r="C78" s="73"/>
      <c r="D78" s="64"/>
      <c r="E78" s="1"/>
      <c r="F78" s="1"/>
      <c r="G78" s="64"/>
      <c r="H78" s="1"/>
      <c r="I78" s="1"/>
    </row>
    <row r="79" spans="1:9">
      <c r="A79" s="73"/>
      <c r="B79" s="73"/>
      <c r="C79" s="73"/>
      <c r="D79" s="64"/>
      <c r="E79" s="1"/>
      <c r="F79" s="1"/>
      <c r="G79" s="64"/>
      <c r="H79" s="1"/>
      <c r="I79" s="1"/>
    </row>
    <row r="80" spans="1:9">
      <c r="A80" s="73"/>
      <c r="B80" s="73"/>
      <c r="C80" s="73"/>
      <c r="D80" s="64"/>
      <c r="E80" s="1"/>
      <c r="F80" s="1"/>
      <c r="G80" s="64"/>
      <c r="H80" s="1"/>
      <c r="I80" s="1"/>
    </row>
  </sheetData>
  <sheetProtection sheet="1" objects="1" scenarios="1"/>
  <mergeCells count="40">
    <mergeCell ref="J10:J11"/>
    <mergeCell ref="J6:J9"/>
    <mergeCell ref="H43:J43"/>
    <mergeCell ref="B38:D39"/>
    <mergeCell ref="E38:G38"/>
    <mergeCell ref="H38:J38"/>
    <mergeCell ref="E39:G39"/>
    <mergeCell ref="H39:J39"/>
    <mergeCell ref="B40:D41"/>
    <mergeCell ref="E40:G40"/>
    <mergeCell ref="H40:J40"/>
    <mergeCell ref="E41:G41"/>
    <mergeCell ref="H41:J41"/>
    <mergeCell ref="B42:D43"/>
    <mergeCell ref="E42:G42"/>
    <mergeCell ref="H42:J42"/>
    <mergeCell ref="E43:G43"/>
    <mergeCell ref="B34:J35"/>
    <mergeCell ref="B36:D36"/>
    <mergeCell ref="E36:G36"/>
    <mergeCell ref="H36:J36"/>
    <mergeCell ref="B37:D37"/>
    <mergeCell ref="E37:G37"/>
    <mergeCell ref="H37:J37"/>
    <mergeCell ref="B30:C30"/>
    <mergeCell ref="B21:J21"/>
    <mergeCell ref="B12:J12"/>
    <mergeCell ref="B3:J4"/>
    <mergeCell ref="B5:C5"/>
    <mergeCell ref="D6:F8"/>
    <mergeCell ref="H6:H11"/>
    <mergeCell ref="I6:I8"/>
    <mergeCell ref="D9:D11"/>
    <mergeCell ref="E9:E11"/>
    <mergeCell ref="F9:F11"/>
    <mergeCell ref="I9:I11"/>
    <mergeCell ref="B6:C6"/>
    <mergeCell ref="B7:C11"/>
    <mergeCell ref="G6:G8"/>
    <mergeCell ref="G9:G11"/>
  </mergeCells>
  <conditionalFormatting sqref="D15:D20 D24:D29">
    <cfRule type="expression" dxfId="20" priority="25">
      <formula>LEN($C15)&gt;0</formula>
    </cfRule>
  </conditionalFormatting>
  <conditionalFormatting sqref="D13:F14 D22:F23">
    <cfRule type="expression" dxfId="19" priority="4">
      <formula>LEN($C13)&gt;0</formula>
    </cfRule>
  </conditionalFormatting>
  <conditionalFormatting sqref="D30:F30">
    <cfRule type="expression" priority="19">
      <formula>COUNTBLANK($G$13:$G$20)+COUNTBLANK($G$22:$G$29)&lt;16</formula>
    </cfRule>
    <cfRule type="expression" dxfId="18" priority="20">
      <formula>COUNTBLANK($G$13:$G$20)+COUNTBLANK($G$22:$G$29)=16</formula>
    </cfRule>
  </conditionalFormatting>
  <conditionalFormatting sqref="D13:G14 D22:G23">
    <cfRule type="expression" dxfId="17" priority="1">
      <formula>LEN($C13)=0</formula>
    </cfRule>
  </conditionalFormatting>
  <conditionalFormatting sqref="D15:G20 D24:G29">
    <cfRule type="expression" dxfId="16" priority="5">
      <formula>LEN($C15)=0</formula>
    </cfRule>
  </conditionalFormatting>
  <conditionalFormatting sqref="E15:G20 E24:G29">
    <cfRule type="expression" dxfId="15" priority="6">
      <formula>LEN($C15)&gt;0</formula>
    </cfRule>
  </conditionalFormatting>
  <conditionalFormatting sqref="E39:G39 E41:G41 E43:G43">
    <cfRule type="expression" dxfId="14" priority="9">
      <formula>COUNTBLANK($G$13:$G$20)+COUNTBLANK($G$22:$G$29)=16</formula>
    </cfRule>
    <cfRule type="expression" dxfId="13" priority="10">
      <formula>COUNTBLANK($G$13:$G$20)+COUNTBLANK($G$22:$G$29)&lt;16</formula>
    </cfRule>
  </conditionalFormatting>
  <conditionalFormatting sqref="G13:G14 G22:G23">
    <cfRule type="expression" dxfId="12" priority="2">
      <formula>LEN($C13)&gt;0</formula>
    </cfRule>
  </conditionalFormatting>
  <conditionalFormatting sqref="H15:H20 H24:H29">
    <cfRule type="expression" dxfId="11" priority="21">
      <formula>OR(LEN($C15)=0,COUNTBLANK(G$13:G$20)+COUNTBLANK(G$22:G$29)=16)</formula>
    </cfRule>
    <cfRule type="expression" dxfId="10" priority="22">
      <formula>AND(LEN($C15)&gt;0,COUNTBLANK(G$13:G$20)+COUNTBLANK(G$22:G$29)&lt;16)</formula>
    </cfRule>
  </conditionalFormatting>
  <conditionalFormatting sqref="H13:I14 H22:I23">
    <cfRule type="expression" dxfId="9" priority="13">
      <formula>AND(LEN($C13)&gt;0,COUNTBLANK($G$13:$G$20)+COUNTBLANK($G$22:$G$29)&lt;16)</formula>
    </cfRule>
    <cfRule type="expression" dxfId="8" priority="14">
      <formula>OR(LEN($C13)=0,COUNTBLANK($G$13:$G$20)+COUNTBLANK($G$22:$G$29)=16)</formula>
    </cfRule>
  </conditionalFormatting>
  <conditionalFormatting sqref="H30:I30">
    <cfRule type="expression" dxfId="7" priority="11">
      <formula>COUNTBLANK($G$13:$G$20)+COUNTBLANK($G$22:$G$29)=16</formula>
    </cfRule>
    <cfRule type="expression" dxfId="6" priority="12">
      <formula>COUNTBLANK($G$13:$G$20)+COUNTBLANK($G$22:$G$29)&lt;16</formula>
    </cfRule>
  </conditionalFormatting>
  <conditionalFormatting sqref="H39:J39 H41:J41 H43:J43">
    <cfRule type="expression" dxfId="5" priority="7">
      <formula>"COUNTBLANK($G$13:$G$20)+COUNTBLANK($G$22:$G$29)&lt;16"</formula>
    </cfRule>
    <cfRule type="expression" dxfId="4" priority="8">
      <formula>COUNTBLANK($G$13:$G$20)+COUNTBLANK($G$22:$G$29)=16</formula>
    </cfRule>
  </conditionalFormatting>
  <conditionalFormatting sqref="I15:I20 I24:I29">
    <cfRule type="expression" dxfId="3" priority="15">
      <formula>OR(LEN($C15)=0,COUNTBLANK(G$13:G$20)+COUNTBLANK(G$22:G$29)=16)</formula>
    </cfRule>
    <cfRule type="expression" dxfId="2" priority="16">
      <formula>AND(LEN($C15)&gt;0,COUNTBLANK(G$13:G$20)+COUNTBLANK(G$22:G$29)&lt;16)</formula>
    </cfRule>
  </conditionalFormatting>
  <conditionalFormatting sqref="J13:J20 J22:J30">
    <cfRule type="expression" dxfId="1" priority="17">
      <formula>COUNTBLANK(G$13:G$20)+COUNTBLANK(G$22:G$29)=16</formula>
    </cfRule>
    <cfRule type="expression" dxfId="0" priority="18">
      <formula>COUNTBLANK(G$13:G$20)+COUNTBLANK(G$22:G$29)&lt;16</formula>
    </cfRule>
  </conditionalFormatting>
  <dataValidations count="2">
    <dataValidation type="list" allowBlank="1" showInputMessage="1" showErrorMessage="1" sqref="AJ43" xr:uid="{00000000-0002-0000-0700-000000000000}">
      <formula1>Local</formula1>
    </dataValidation>
    <dataValidation type="whole" allowBlank="1" showInputMessage="1" showErrorMessage="1" sqref="I13:I20" xr:uid="{00000000-0002-0000-0700-000001000000}">
      <formula1>0</formula1>
      <formula2>78300</formula2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F78"/>
  <sheetViews>
    <sheetView workbookViewId="0">
      <selection activeCell="C11" sqref="C11"/>
    </sheetView>
  </sheetViews>
  <sheetFormatPr defaultColWidth="9.109375" defaultRowHeight="13.2"/>
  <cols>
    <col min="1" max="1" width="6.6640625" customWidth="1"/>
    <col min="2" max="2" width="13.6640625" customWidth="1"/>
    <col min="3" max="3" width="27.33203125" customWidth="1"/>
    <col min="4" max="7" width="13.6640625" customWidth="1"/>
    <col min="8" max="8" width="15.33203125" customWidth="1"/>
    <col min="9" max="10" width="13.6640625" customWidth="1"/>
    <col min="11" max="15" width="10.6640625" customWidth="1"/>
    <col min="16" max="22" width="13.6640625" customWidth="1"/>
    <col min="23" max="32" width="12.6640625" customWidth="1"/>
    <col min="39" max="39" width="11" customWidth="1"/>
    <col min="40" max="40" width="12.44140625" customWidth="1"/>
    <col min="41" max="41" width="10.44140625" customWidth="1"/>
    <col min="42" max="42" width="10.6640625" customWidth="1"/>
    <col min="43" max="43" width="12.44140625" customWidth="1"/>
    <col min="44" max="44" width="10.44140625" customWidth="1"/>
    <col min="45" max="45" width="11.6640625" customWidth="1"/>
    <col min="46" max="46" width="10.44140625" customWidth="1"/>
    <col min="49" max="49" width="10.109375" customWidth="1"/>
  </cols>
  <sheetData>
    <row r="1" spans="1:58">
      <c r="Q1" s="51"/>
      <c r="T1" s="1"/>
      <c r="Z1" s="100"/>
    </row>
    <row r="2" spans="1:58" ht="13.8" thickBot="1">
      <c r="Q2" s="51"/>
      <c r="T2" s="1"/>
      <c r="Z2" s="100"/>
    </row>
    <row r="3" spans="1:58" ht="13.8" thickTop="1">
      <c r="A3" s="98"/>
      <c r="B3" s="705" t="s">
        <v>323</v>
      </c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96"/>
      <c r="Q3" s="72"/>
      <c r="R3" s="72"/>
      <c r="S3" s="72"/>
      <c r="T3" s="72"/>
      <c r="U3" s="72"/>
      <c r="V3" s="72"/>
      <c r="W3" s="72"/>
      <c r="X3" s="72"/>
      <c r="Y3" s="72"/>
      <c r="Z3" s="101"/>
      <c r="AA3" s="101"/>
      <c r="AB3" s="15"/>
      <c r="AC3" s="15"/>
      <c r="AD3" s="15"/>
      <c r="AM3" s="15"/>
      <c r="AW3" s="15"/>
      <c r="AX3" s="15"/>
      <c r="AY3" s="15"/>
      <c r="AZ3" s="15"/>
      <c r="BA3" s="15"/>
      <c r="BB3" s="15"/>
      <c r="BC3" s="15"/>
      <c r="BD3" s="15"/>
      <c r="BE3" s="15"/>
      <c r="BF3" s="15"/>
    </row>
    <row r="4" spans="1:58" ht="13.8" thickBot="1">
      <c r="A4" s="15"/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1"/>
      <c r="Q4" s="72"/>
      <c r="R4" s="72"/>
      <c r="S4" s="72"/>
      <c r="T4" s="72"/>
      <c r="U4" s="72"/>
      <c r="V4" s="72"/>
      <c r="W4" s="72"/>
      <c r="X4" s="72"/>
      <c r="Y4" s="72"/>
      <c r="Z4" s="101"/>
      <c r="AA4" s="101"/>
      <c r="AB4" s="1"/>
      <c r="AC4" s="1"/>
      <c r="AD4" s="1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1:58">
      <c r="B5" s="529" t="s">
        <v>28</v>
      </c>
      <c r="C5" s="554"/>
      <c r="D5" s="70" t="s">
        <v>29</v>
      </c>
      <c r="E5" s="70" t="s">
        <v>30</v>
      </c>
      <c r="F5" s="70" t="s">
        <v>31</v>
      </c>
      <c r="G5" s="70" t="s">
        <v>32</v>
      </c>
      <c r="H5" s="70" t="s">
        <v>33</v>
      </c>
      <c r="I5" s="70" t="s">
        <v>34</v>
      </c>
      <c r="J5" s="70" t="s">
        <v>35</v>
      </c>
      <c r="K5" s="70" t="s">
        <v>36</v>
      </c>
      <c r="L5" s="70" t="s">
        <v>37</v>
      </c>
      <c r="M5" s="70" t="s">
        <v>38</v>
      </c>
      <c r="N5" s="70" t="s">
        <v>39</v>
      </c>
      <c r="O5" s="102" t="s">
        <v>40</v>
      </c>
      <c r="P5" s="20"/>
      <c r="Q5" s="71"/>
      <c r="R5" s="71"/>
      <c r="S5" s="71"/>
      <c r="T5" s="96"/>
      <c r="U5" s="96"/>
      <c r="V5" s="96"/>
      <c r="W5" s="96"/>
      <c r="X5" s="96"/>
      <c r="Y5" s="96"/>
      <c r="AB5" s="96"/>
      <c r="AC5" s="96"/>
      <c r="AD5" s="96"/>
      <c r="AM5" s="15"/>
      <c r="AN5" s="15"/>
      <c r="AO5" s="15"/>
      <c r="AP5" s="1"/>
      <c r="AQ5" s="15"/>
      <c r="AR5" s="1"/>
      <c r="AS5" s="1"/>
      <c r="AT5" s="1"/>
      <c r="AW5" s="15"/>
      <c r="AX5" s="15"/>
      <c r="AY5" s="15"/>
      <c r="AZ5" s="15"/>
      <c r="BA5" s="15"/>
      <c r="BB5" s="15"/>
      <c r="BC5" s="15"/>
      <c r="BD5" s="15"/>
      <c r="BE5" s="15"/>
      <c r="BF5" s="15"/>
    </row>
    <row r="6" spans="1:58">
      <c r="B6" s="428" t="s">
        <v>567</v>
      </c>
      <c r="C6" s="746"/>
      <c r="D6" s="466" t="s">
        <v>118</v>
      </c>
      <c r="E6" s="749"/>
      <c r="F6" s="749"/>
      <c r="G6" s="466" t="s">
        <v>290</v>
      </c>
      <c r="H6" s="549" t="s">
        <v>77</v>
      </c>
      <c r="I6" s="549" t="s">
        <v>324</v>
      </c>
      <c r="J6" s="549" t="s">
        <v>325</v>
      </c>
      <c r="K6" s="549" t="s">
        <v>326</v>
      </c>
      <c r="L6" s="549" t="s">
        <v>327</v>
      </c>
      <c r="M6" s="549" t="s">
        <v>328</v>
      </c>
      <c r="N6" s="549" t="s">
        <v>329</v>
      </c>
      <c r="O6" s="373" t="s">
        <v>330</v>
      </c>
      <c r="Q6" s="101"/>
      <c r="R6" s="101"/>
      <c r="S6" s="101"/>
      <c r="T6" s="96"/>
      <c r="U6" s="96"/>
      <c r="V6" s="96"/>
      <c r="X6" s="15"/>
      <c r="AB6" s="15"/>
      <c r="AC6" s="15"/>
      <c r="AD6" s="15"/>
      <c r="AM6" s="15"/>
      <c r="AN6" s="15"/>
      <c r="AO6" s="1"/>
      <c r="AP6" s="1"/>
      <c r="AQ6" s="1"/>
      <c r="AR6" s="1"/>
      <c r="AS6" s="1"/>
      <c r="AT6" s="1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1:58">
      <c r="B7" s="716"/>
      <c r="C7" s="715"/>
      <c r="D7" s="749"/>
      <c r="E7" s="749"/>
      <c r="F7" s="749"/>
      <c r="G7" s="466"/>
      <c r="H7" s="707"/>
      <c r="I7" s="549"/>
      <c r="J7" s="549"/>
      <c r="K7" s="549"/>
      <c r="L7" s="549"/>
      <c r="M7" s="549"/>
      <c r="N7" s="549"/>
      <c r="O7" s="373"/>
      <c r="Q7" s="55"/>
      <c r="R7" s="1"/>
      <c r="S7" s="1"/>
      <c r="T7" s="103"/>
      <c r="U7" s="103"/>
      <c r="V7" s="103"/>
      <c r="W7" s="103"/>
      <c r="X7" s="103"/>
      <c r="Y7" s="103"/>
      <c r="Z7" s="103"/>
      <c r="AA7" s="103"/>
      <c r="AB7" s="1"/>
      <c r="AC7" s="15"/>
      <c r="AD7" s="1"/>
      <c r="AM7" s="1"/>
      <c r="AN7" s="1"/>
      <c r="AO7" s="1"/>
      <c r="AP7" s="1"/>
      <c r="AQ7" s="104"/>
      <c r="AR7" s="104"/>
      <c r="AS7" s="104"/>
      <c r="AT7" s="104"/>
      <c r="AW7" s="51"/>
      <c r="AX7" s="58"/>
      <c r="AY7" s="58"/>
      <c r="AZ7" s="58"/>
      <c r="BA7" s="58"/>
      <c r="BB7" s="58"/>
      <c r="BC7" s="58"/>
      <c r="BD7" s="58"/>
      <c r="BE7" s="58"/>
      <c r="BF7" s="58"/>
    </row>
    <row r="8" spans="1:58">
      <c r="B8" s="716"/>
      <c r="C8" s="715"/>
      <c r="D8" s="521" t="s">
        <v>292</v>
      </c>
      <c r="E8" s="521" t="s">
        <v>570</v>
      </c>
      <c r="F8" s="521" t="s">
        <v>293</v>
      </c>
      <c r="G8" s="466"/>
      <c r="H8" s="707"/>
      <c r="I8" s="521" t="s">
        <v>331</v>
      </c>
      <c r="J8" s="521" t="s">
        <v>332</v>
      </c>
      <c r="K8" s="710" t="s">
        <v>333</v>
      </c>
      <c r="L8" s="710" t="s">
        <v>334</v>
      </c>
      <c r="M8" s="710" t="s">
        <v>335</v>
      </c>
      <c r="N8" s="710" t="s">
        <v>336</v>
      </c>
      <c r="O8" s="754" t="s">
        <v>337</v>
      </c>
      <c r="P8" s="105"/>
      <c r="T8" s="65"/>
      <c r="U8" s="65"/>
      <c r="V8" s="65"/>
      <c r="W8" s="65"/>
      <c r="X8" s="65"/>
      <c r="Y8" s="65"/>
      <c r="Z8" s="65"/>
      <c r="AA8" s="65"/>
      <c r="AB8" s="1"/>
      <c r="AC8" s="1"/>
      <c r="AD8" s="1"/>
      <c r="AM8" s="1"/>
      <c r="AN8" s="1"/>
      <c r="AO8" s="1"/>
      <c r="AP8" s="1"/>
      <c r="AQ8" s="106"/>
      <c r="AR8" s="106"/>
      <c r="AS8" s="106"/>
      <c r="AT8" s="106"/>
      <c r="AW8" s="51"/>
      <c r="AX8" s="58"/>
      <c r="AY8" s="58"/>
      <c r="AZ8" s="58"/>
      <c r="BA8" s="58"/>
      <c r="BB8" s="58"/>
      <c r="BC8" s="58"/>
      <c r="BD8" s="58"/>
      <c r="BE8" s="58"/>
      <c r="BF8" s="58"/>
    </row>
    <row r="9" spans="1:58" ht="13.8" thickBot="1">
      <c r="A9" s="15"/>
      <c r="B9" s="747"/>
      <c r="C9" s="748"/>
      <c r="D9" s="752"/>
      <c r="E9" s="752"/>
      <c r="F9" s="752"/>
      <c r="G9" s="750"/>
      <c r="H9" s="751"/>
      <c r="I9" s="753"/>
      <c r="J9" s="753"/>
      <c r="K9" s="751"/>
      <c r="L9" s="751"/>
      <c r="M9" s="751"/>
      <c r="N9" s="751"/>
      <c r="O9" s="755"/>
      <c r="P9" s="20"/>
      <c r="Q9" s="93"/>
      <c r="R9" s="93"/>
      <c r="S9" s="93"/>
      <c r="T9" s="94"/>
      <c r="U9" s="94"/>
      <c r="V9" s="94"/>
      <c r="W9" s="64"/>
      <c r="X9" s="64"/>
      <c r="Y9" s="64"/>
      <c r="Z9" s="64"/>
      <c r="AA9" s="64"/>
      <c r="AM9" s="55"/>
      <c r="AN9" s="1"/>
      <c r="AO9" s="107"/>
      <c r="AP9" s="1"/>
      <c r="AQ9" s="108"/>
      <c r="AR9" s="108"/>
      <c r="AS9" s="109"/>
      <c r="AT9" s="109"/>
      <c r="AW9" s="51"/>
      <c r="AX9" s="58"/>
      <c r="AY9" s="58"/>
      <c r="AZ9" s="58"/>
      <c r="BA9" s="58"/>
      <c r="BB9" s="58"/>
      <c r="BC9" s="58"/>
      <c r="BD9" s="58"/>
      <c r="BE9" s="58"/>
      <c r="BF9" s="58"/>
    </row>
    <row r="10" spans="1:58">
      <c r="A10" s="51"/>
      <c r="B10" s="411" t="s">
        <v>295</v>
      </c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100"/>
      <c r="Q10" s="93"/>
      <c r="R10" s="93"/>
      <c r="S10" s="93"/>
      <c r="T10" s="64"/>
      <c r="U10" s="64"/>
      <c r="V10" s="64"/>
      <c r="W10" s="64"/>
      <c r="X10" s="64"/>
      <c r="Y10" s="64"/>
      <c r="Z10" s="64"/>
      <c r="AA10" s="64"/>
      <c r="AB10" s="14"/>
      <c r="AC10" s="14"/>
      <c r="AD10" s="14"/>
      <c r="AM10" s="1"/>
      <c r="AN10" s="1"/>
      <c r="AO10" s="1"/>
      <c r="AP10" s="1"/>
      <c r="AQ10" s="108"/>
      <c r="AR10" s="108"/>
      <c r="AS10" s="108"/>
      <c r="AT10" s="108"/>
      <c r="AW10" s="51"/>
      <c r="AX10" s="58"/>
      <c r="AY10" s="58"/>
      <c r="AZ10" s="58"/>
      <c r="BA10" s="58"/>
      <c r="BB10" s="58"/>
      <c r="BC10" s="58"/>
      <c r="BD10" s="58"/>
      <c r="BE10" s="58"/>
      <c r="BF10" s="58"/>
    </row>
    <row r="11" spans="1:58">
      <c r="A11" s="51"/>
      <c r="B11" s="52" t="s">
        <v>343</v>
      </c>
      <c r="C11" s="240" t="s">
        <v>568</v>
      </c>
      <c r="D11" s="13">
        <f>E11+F11</f>
        <v>3.5838434446793892</v>
      </c>
      <c r="E11" s="13">
        <f>+'Segment 1'!$G$85</f>
        <v>1.23284214496971</v>
      </c>
      <c r="F11" s="13">
        <f>+'Segment 1'!$G$86</f>
        <v>2.3510012997096794</v>
      </c>
      <c r="G11" s="99" t="s">
        <v>25</v>
      </c>
      <c r="H11" s="13">
        <f>+'Segment 1'!$D$50</f>
        <v>0.247</v>
      </c>
      <c r="I11" s="110">
        <f>+H11*D11*D11</f>
        <v>3.1724516574849431</v>
      </c>
      <c r="J11" s="110">
        <f>SQRT(H11*D11)</f>
        <v>0.94085563761706248</v>
      </c>
      <c r="K11" s="99" t="s">
        <v>25</v>
      </c>
      <c r="L11" s="99" t="s">
        <v>25</v>
      </c>
      <c r="M11" s="99" t="s">
        <v>25</v>
      </c>
      <c r="N11" s="99" t="s">
        <v>25</v>
      </c>
      <c r="O11" s="127" t="s">
        <v>25</v>
      </c>
      <c r="P11" s="100"/>
      <c r="Q11" s="93"/>
      <c r="R11" s="93"/>
      <c r="S11" s="93"/>
      <c r="T11" s="64"/>
      <c r="U11" s="64"/>
      <c r="V11" s="64"/>
      <c r="W11" s="64"/>
      <c r="X11" s="64"/>
      <c r="Y11" s="64"/>
      <c r="Z11" s="64"/>
      <c r="AA11" s="64"/>
      <c r="AB11" s="14"/>
      <c r="AC11" s="14"/>
      <c r="AD11" s="14"/>
      <c r="AM11" s="111"/>
      <c r="AN11" s="112"/>
      <c r="AO11" s="107"/>
      <c r="AP11" s="1"/>
      <c r="AQ11" s="108"/>
      <c r="AR11" s="108"/>
      <c r="AS11" s="109"/>
      <c r="AT11" s="109"/>
      <c r="AW11" s="86"/>
    </row>
    <row r="12" spans="1:58">
      <c r="A12" s="51"/>
      <c r="B12" s="52" t="s">
        <v>344</v>
      </c>
      <c r="C12" s="240" t="s">
        <v>568</v>
      </c>
      <c r="D12" s="13">
        <f t="shared" ref="D12:D18" si="0">E12+F12</f>
        <v>0.30160837262157819</v>
      </c>
      <c r="E12" s="13">
        <f>+'Segment 2'!$G$85</f>
        <v>0.10375328018182291</v>
      </c>
      <c r="F12" s="13">
        <f>+'Segment 2'!$G$86</f>
        <v>0.1978550924397553</v>
      </c>
      <c r="G12" s="99" t="s">
        <v>25</v>
      </c>
      <c r="H12" s="13">
        <f>+'Segment 2'!$D$50</f>
        <v>0.247</v>
      </c>
      <c r="I12" s="110">
        <f>+H12*D12*D12</f>
        <v>2.246899977755288E-2</v>
      </c>
      <c r="J12" s="110">
        <f>SQRT(H12*D12)</f>
        <v>0.27294187666521569</v>
      </c>
      <c r="K12" s="99" t="s">
        <v>25</v>
      </c>
      <c r="L12" s="99" t="s">
        <v>25</v>
      </c>
      <c r="M12" s="99" t="s">
        <v>25</v>
      </c>
      <c r="N12" s="99" t="s">
        <v>25</v>
      </c>
      <c r="O12" s="127" t="s">
        <v>25</v>
      </c>
      <c r="P12" s="100"/>
      <c r="Q12" s="93"/>
      <c r="R12" s="93"/>
      <c r="S12" s="93"/>
      <c r="T12" s="64"/>
      <c r="U12" s="64"/>
      <c r="V12" s="64"/>
      <c r="W12" s="64"/>
      <c r="X12" s="64"/>
      <c r="Y12" s="64"/>
      <c r="Z12" s="64"/>
      <c r="AA12" s="64"/>
      <c r="AB12" s="14"/>
      <c r="AC12" s="14"/>
      <c r="AD12" s="14"/>
      <c r="AM12" s="112"/>
      <c r="AN12" s="112"/>
      <c r="AO12" s="1"/>
      <c r="AP12" s="1"/>
      <c r="AQ12" s="108"/>
      <c r="AR12" s="108"/>
      <c r="AS12" s="108"/>
      <c r="AT12" s="108"/>
    </row>
    <row r="13" spans="1:58">
      <c r="A13" s="51"/>
      <c r="B13" s="52" t="s">
        <v>296</v>
      </c>
      <c r="C13" s="239"/>
      <c r="D13" s="176">
        <f t="shared" si="0"/>
        <v>0</v>
      </c>
      <c r="E13" s="201"/>
      <c r="F13" s="201"/>
      <c r="G13" s="99" t="s">
        <v>25</v>
      </c>
      <c r="H13" s="201"/>
      <c r="I13" s="13">
        <f t="shared" ref="I13:I18" si="1">+H13*D13*D13</f>
        <v>0</v>
      </c>
      <c r="J13" s="13">
        <f t="shared" ref="J13:J18" si="2">SQRT(H13*D13)</f>
        <v>0</v>
      </c>
      <c r="K13" s="99" t="s">
        <v>25</v>
      </c>
      <c r="L13" s="99" t="s">
        <v>25</v>
      </c>
      <c r="M13" s="99" t="s">
        <v>25</v>
      </c>
      <c r="N13" s="99" t="s">
        <v>25</v>
      </c>
      <c r="O13" s="127" t="s">
        <v>25</v>
      </c>
      <c r="P13" s="100"/>
      <c r="Q13" s="93"/>
      <c r="R13" s="93"/>
      <c r="S13" s="93"/>
      <c r="T13" s="64"/>
      <c r="U13" s="64"/>
      <c r="V13" s="64"/>
      <c r="W13" s="64"/>
      <c r="X13" s="64"/>
      <c r="Y13" s="64"/>
      <c r="Z13" s="64"/>
      <c r="AA13" s="64"/>
      <c r="AB13" s="14"/>
      <c r="AC13" s="14"/>
      <c r="AD13" s="14"/>
      <c r="AM13" s="112"/>
      <c r="AN13" s="112"/>
      <c r="AO13" s="107"/>
      <c r="AP13" s="58"/>
      <c r="AQ13" s="58"/>
      <c r="AR13" s="58"/>
      <c r="AS13" s="58"/>
      <c r="AT13" s="58"/>
    </row>
    <row r="14" spans="1:58">
      <c r="A14" s="51"/>
      <c r="B14" s="52" t="s">
        <v>297</v>
      </c>
      <c r="C14" s="239"/>
      <c r="D14" s="176">
        <f t="shared" si="0"/>
        <v>0</v>
      </c>
      <c r="E14" s="201"/>
      <c r="F14" s="201"/>
      <c r="G14" s="99" t="s">
        <v>25</v>
      </c>
      <c r="H14" s="201"/>
      <c r="I14" s="13">
        <f t="shared" si="1"/>
        <v>0</v>
      </c>
      <c r="J14" s="13">
        <f t="shared" si="2"/>
        <v>0</v>
      </c>
      <c r="K14" s="99" t="s">
        <v>25</v>
      </c>
      <c r="L14" s="99" t="s">
        <v>25</v>
      </c>
      <c r="M14" s="99" t="s">
        <v>25</v>
      </c>
      <c r="N14" s="99" t="s">
        <v>25</v>
      </c>
      <c r="O14" s="127" t="s">
        <v>25</v>
      </c>
      <c r="P14" s="100"/>
      <c r="Q14" s="93"/>
      <c r="R14" s="93"/>
      <c r="S14" s="93"/>
      <c r="T14" s="64"/>
      <c r="U14" s="64"/>
      <c r="V14" s="64"/>
      <c r="W14" s="64"/>
      <c r="X14" s="64"/>
      <c r="Y14" s="64"/>
      <c r="Z14" s="64"/>
      <c r="AA14" s="64"/>
      <c r="AB14" s="14"/>
      <c r="AC14" s="14"/>
      <c r="AD14" s="14"/>
      <c r="AM14" s="74"/>
      <c r="AN14" s="74"/>
      <c r="AO14" s="46"/>
      <c r="AP14" s="46"/>
      <c r="AQ14" s="46"/>
      <c r="AR14" s="46"/>
      <c r="AS14" s="46"/>
      <c r="AT14" s="46"/>
    </row>
    <row r="15" spans="1:58">
      <c r="A15" s="51"/>
      <c r="B15" s="52" t="s">
        <v>298</v>
      </c>
      <c r="C15" s="239"/>
      <c r="D15" s="176">
        <f t="shared" si="0"/>
        <v>0</v>
      </c>
      <c r="E15" s="201"/>
      <c r="F15" s="201"/>
      <c r="G15" s="99" t="s">
        <v>25</v>
      </c>
      <c r="H15" s="201"/>
      <c r="I15" s="87">
        <f t="shared" si="1"/>
        <v>0</v>
      </c>
      <c r="J15" s="13">
        <f t="shared" si="2"/>
        <v>0</v>
      </c>
      <c r="K15" s="99" t="s">
        <v>25</v>
      </c>
      <c r="L15" s="99" t="s">
        <v>25</v>
      </c>
      <c r="M15" s="99" t="s">
        <v>25</v>
      </c>
      <c r="N15" s="99" t="s">
        <v>25</v>
      </c>
      <c r="O15" s="127" t="s">
        <v>25</v>
      </c>
      <c r="P15" s="100"/>
      <c r="Q15" s="51"/>
      <c r="T15" s="64"/>
      <c r="U15" s="64"/>
      <c r="V15" s="64"/>
      <c r="W15" s="64"/>
      <c r="X15" s="64"/>
      <c r="Y15" s="64"/>
      <c r="Z15" s="64"/>
      <c r="AA15" s="64"/>
      <c r="AB15" s="14"/>
      <c r="AC15" s="14"/>
      <c r="AD15" s="14"/>
      <c r="AM15" s="46"/>
      <c r="AN15" s="46"/>
      <c r="AO15" s="46"/>
      <c r="AP15" s="46"/>
      <c r="AQ15" s="46"/>
      <c r="AR15" s="46"/>
      <c r="AS15" s="46"/>
      <c r="AT15" s="46"/>
      <c r="AW15" s="51"/>
      <c r="BA15" s="58"/>
    </row>
    <row r="16" spans="1:58">
      <c r="A16" s="51"/>
      <c r="B16" s="52" t="s">
        <v>299</v>
      </c>
      <c r="C16" s="239"/>
      <c r="D16" s="176">
        <f t="shared" si="0"/>
        <v>0</v>
      </c>
      <c r="E16" s="201"/>
      <c r="F16" s="201"/>
      <c r="G16" s="99" t="s">
        <v>25</v>
      </c>
      <c r="H16" s="201"/>
      <c r="I16" s="13">
        <f t="shared" si="1"/>
        <v>0</v>
      </c>
      <c r="J16" s="13">
        <f t="shared" si="2"/>
        <v>0</v>
      </c>
      <c r="K16" s="99" t="s">
        <v>25</v>
      </c>
      <c r="L16" s="99" t="s">
        <v>25</v>
      </c>
      <c r="M16" s="99" t="s">
        <v>25</v>
      </c>
      <c r="N16" s="99" t="s">
        <v>25</v>
      </c>
      <c r="O16" s="127" t="s">
        <v>25</v>
      </c>
      <c r="P16" s="100"/>
      <c r="Q16" s="95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14"/>
      <c r="AC16" s="14"/>
      <c r="AD16" s="14"/>
      <c r="AM16" s="46"/>
      <c r="AN16" s="74"/>
      <c r="AO16" s="46"/>
      <c r="AP16" s="46"/>
      <c r="AQ16" s="46"/>
      <c r="AR16" s="46"/>
      <c r="AS16" s="46"/>
      <c r="AT16" s="46"/>
    </row>
    <row r="17" spans="1:53">
      <c r="A17" s="51"/>
      <c r="B17" s="52" t="s">
        <v>300</v>
      </c>
      <c r="C17" s="239"/>
      <c r="D17" s="176">
        <f t="shared" si="0"/>
        <v>0</v>
      </c>
      <c r="E17" s="201"/>
      <c r="F17" s="201"/>
      <c r="G17" s="99" t="s">
        <v>25</v>
      </c>
      <c r="H17" s="201"/>
      <c r="I17" s="13">
        <f t="shared" si="1"/>
        <v>0</v>
      </c>
      <c r="J17" s="13">
        <f t="shared" si="2"/>
        <v>0</v>
      </c>
      <c r="K17" s="99" t="s">
        <v>25</v>
      </c>
      <c r="L17" s="99" t="s">
        <v>25</v>
      </c>
      <c r="M17" s="99" t="s">
        <v>25</v>
      </c>
      <c r="N17" s="99" t="s">
        <v>25</v>
      </c>
      <c r="O17" s="127" t="s">
        <v>25</v>
      </c>
      <c r="P17" s="2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4"/>
      <c r="AC17" s="14"/>
      <c r="AD17" s="14"/>
      <c r="AM17" s="46"/>
      <c r="AN17" s="46"/>
      <c r="AO17" s="46"/>
      <c r="AP17" s="46"/>
      <c r="AQ17" s="46"/>
      <c r="AR17" s="46"/>
      <c r="AS17" s="46"/>
      <c r="AT17" s="46"/>
      <c r="AW17" s="51"/>
      <c r="BA17" s="58"/>
    </row>
    <row r="18" spans="1:53" ht="13.8" thickBot="1">
      <c r="B18" s="54" t="s">
        <v>301</v>
      </c>
      <c r="C18" s="241"/>
      <c r="D18" s="179">
        <f t="shared" si="0"/>
        <v>0</v>
      </c>
      <c r="E18" s="202"/>
      <c r="F18" s="202"/>
      <c r="G18" s="99" t="s">
        <v>25</v>
      </c>
      <c r="H18" s="202"/>
      <c r="I18" s="82">
        <f t="shared" si="1"/>
        <v>0</v>
      </c>
      <c r="J18" s="82">
        <f t="shared" si="2"/>
        <v>0</v>
      </c>
      <c r="K18" s="99" t="s">
        <v>25</v>
      </c>
      <c r="L18" s="99" t="s">
        <v>25</v>
      </c>
      <c r="M18" s="99" t="s">
        <v>25</v>
      </c>
      <c r="N18" s="99" t="s">
        <v>25</v>
      </c>
      <c r="O18" s="128" t="s">
        <v>25</v>
      </c>
      <c r="P18" s="19"/>
      <c r="Q18" s="72"/>
      <c r="R18" s="72"/>
      <c r="S18" s="72"/>
      <c r="T18" s="72"/>
      <c r="U18" s="72"/>
      <c r="V18" s="72"/>
      <c r="W18" s="72"/>
      <c r="X18" s="72"/>
      <c r="Y18" s="72"/>
      <c r="Z18" s="101"/>
      <c r="AA18" s="101"/>
      <c r="AB18" s="14"/>
      <c r="AC18" s="14"/>
      <c r="AD18" s="14"/>
    </row>
    <row r="19" spans="1:53">
      <c r="B19" s="411" t="s">
        <v>302</v>
      </c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96"/>
      <c r="Q19" s="72"/>
      <c r="R19" s="72"/>
      <c r="S19" s="72"/>
      <c r="T19" s="72"/>
      <c r="U19" s="72"/>
      <c r="V19" s="72"/>
      <c r="W19" s="72"/>
      <c r="X19" s="72"/>
      <c r="Y19" s="72"/>
      <c r="Z19" s="101"/>
      <c r="AA19" s="101"/>
      <c r="AB19" s="1"/>
      <c r="AC19" s="1"/>
      <c r="AD19" s="1"/>
      <c r="AE19" s="1"/>
      <c r="AF19" s="1"/>
      <c r="AG19" s="1"/>
      <c r="AH19" s="1"/>
      <c r="AI19" s="1"/>
      <c r="AJ19" s="1"/>
      <c r="AM19" s="15"/>
      <c r="AN19" s="15"/>
      <c r="AO19" s="15"/>
      <c r="AP19" s="15"/>
      <c r="AQ19" s="15"/>
      <c r="AR19" s="1"/>
      <c r="AS19" s="1"/>
      <c r="AT19" s="1"/>
    </row>
    <row r="20" spans="1:53">
      <c r="A20" s="85"/>
      <c r="B20" s="52" t="s">
        <v>303</v>
      </c>
      <c r="C20" s="240" t="s">
        <v>568</v>
      </c>
      <c r="D20" s="13">
        <f>+'Intersection 1'!$I$69</f>
        <v>0.46837687677405299</v>
      </c>
      <c r="E20" s="13">
        <f>+'Intersection 1'!$I$70</f>
        <v>0.15690625371930778</v>
      </c>
      <c r="F20" s="113">
        <f>+'Intersection 1'!$I$71</f>
        <v>0.31147062305474527</v>
      </c>
      <c r="G20" s="99" t="s">
        <v>25</v>
      </c>
      <c r="H20" s="13">
        <f>+'Intersection 1'!$E$34</f>
        <v>0.40500000000000003</v>
      </c>
      <c r="I20" s="13">
        <f>H20*D20*D20</f>
        <v>8.8847643972129645E-2</v>
      </c>
      <c r="J20" s="113">
        <f>SQRT(H20*D20)</f>
        <v>0.43553717992094709</v>
      </c>
      <c r="K20" s="99" t="s">
        <v>25</v>
      </c>
      <c r="L20" s="99" t="s">
        <v>25</v>
      </c>
      <c r="M20" s="99" t="s">
        <v>25</v>
      </c>
      <c r="N20" s="99" t="s">
        <v>25</v>
      </c>
      <c r="O20" s="127" t="s">
        <v>25</v>
      </c>
      <c r="P20" s="20"/>
      <c r="Q20" s="101"/>
      <c r="R20" s="101"/>
      <c r="S20" s="101"/>
      <c r="T20" s="15"/>
      <c r="U20" s="1"/>
      <c r="V20" s="15"/>
      <c r="X20" s="15"/>
      <c r="Y20" s="1"/>
      <c r="Z20" s="15"/>
      <c r="AB20" s="96"/>
      <c r="AC20" s="96"/>
      <c r="AD20" s="96"/>
      <c r="AE20" s="96"/>
      <c r="AF20" s="96"/>
      <c r="AG20" s="96"/>
      <c r="AH20" s="96"/>
      <c r="AI20" s="96"/>
      <c r="AJ20" s="96"/>
      <c r="AM20" s="15"/>
      <c r="AN20" s="15"/>
      <c r="AO20" s="15"/>
      <c r="AP20" s="1"/>
      <c r="AQ20" s="15"/>
      <c r="AR20" s="1"/>
      <c r="AS20" s="1"/>
      <c r="AT20" s="1"/>
    </row>
    <row r="21" spans="1:53">
      <c r="A21" s="114"/>
      <c r="B21" s="195" t="s">
        <v>304</v>
      </c>
      <c r="C21" s="240" t="s">
        <v>568</v>
      </c>
      <c r="D21" s="13">
        <f>+'Intersection 2'!$I$69</f>
        <v>2.5347250103428052</v>
      </c>
      <c r="E21" s="13">
        <f>+'Intersection 2'!$I$70</f>
        <v>0.82632035337175458</v>
      </c>
      <c r="F21" s="113">
        <f>+'Intersection 2'!$I$71</f>
        <v>1.7084046569710511</v>
      </c>
      <c r="G21" s="99" t="s">
        <v>25</v>
      </c>
      <c r="H21" s="13">
        <f>+'Intersection 2'!$E$34</f>
        <v>0.59899999999999998</v>
      </c>
      <c r="I21" s="13">
        <f>H21*D21*D21</f>
        <v>3.848473695956343</v>
      </c>
      <c r="J21" s="113">
        <f>SQRT(H21*D21)</f>
        <v>1.2321932807783609</v>
      </c>
      <c r="K21" s="99" t="s">
        <v>25</v>
      </c>
      <c r="L21" s="99" t="s">
        <v>25</v>
      </c>
      <c r="M21" s="99" t="s">
        <v>25</v>
      </c>
      <c r="N21" s="99" t="s">
        <v>25</v>
      </c>
      <c r="O21" s="127" t="s">
        <v>25</v>
      </c>
      <c r="Q21" s="55"/>
      <c r="R21" s="1"/>
      <c r="S21" s="1"/>
      <c r="T21" s="1"/>
      <c r="U21" s="1"/>
      <c r="X21" s="1"/>
      <c r="Y21" s="1"/>
      <c r="AB21" s="72"/>
      <c r="AC21" s="72"/>
      <c r="AD21" s="72"/>
      <c r="AE21" s="72"/>
      <c r="AF21" s="72"/>
      <c r="AG21" s="72"/>
      <c r="AH21" s="72"/>
      <c r="AI21" s="72"/>
      <c r="AJ21" s="72"/>
      <c r="AM21" s="15"/>
      <c r="AN21" s="15"/>
      <c r="AO21" s="1"/>
      <c r="AP21" s="1"/>
      <c r="AQ21" s="1"/>
      <c r="AR21" s="1"/>
      <c r="AS21" s="1"/>
      <c r="AT21" s="1"/>
    </row>
    <row r="22" spans="1:53">
      <c r="A22" s="101"/>
      <c r="B22" s="52" t="s">
        <v>305</v>
      </c>
      <c r="C22" s="239"/>
      <c r="D22" s="182">
        <f t="shared" ref="D22:D27" si="3">E22+F22</f>
        <v>0</v>
      </c>
      <c r="E22" s="203"/>
      <c r="F22" s="204"/>
      <c r="G22" s="99" t="s">
        <v>25</v>
      </c>
      <c r="H22" s="204"/>
      <c r="I22" s="13">
        <f t="shared" ref="I22:I27" si="4">H22*D22*D22</f>
        <v>0</v>
      </c>
      <c r="J22" s="87">
        <f t="shared" ref="J22:J27" si="5">SQRT(H22*D22)</f>
        <v>0</v>
      </c>
      <c r="K22" s="99" t="s">
        <v>25</v>
      </c>
      <c r="L22" s="99" t="s">
        <v>25</v>
      </c>
      <c r="M22" s="99" t="s">
        <v>25</v>
      </c>
      <c r="N22" s="99" t="s">
        <v>25</v>
      </c>
      <c r="O22" s="127" t="s">
        <v>25</v>
      </c>
      <c r="Q22" s="101"/>
      <c r="AB22" s="72"/>
      <c r="AC22" s="72"/>
      <c r="AD22" s="72"/>
      <c r="AE22" s="72"/>
      <c r="AF22" s="72"/>
      <c r="AG22" s="72"/>
      <c r="AH22" s="72"/>
      <c r="AI22" s="72"/>
      <c r="AJ22" s="72"/>
      <c r="AM22" s="1"/>
      <c r="AN22" s="1"/>
      <c r="AO22" s="1"/>
      <c r="AP22" s="1"/>
      <c r="AQ22" s="104"/>
      <c r="AR22" s="104"/>
      <c r="AS22" s="104"/>
      <c r="AT22" s="104"/>
    </row>
    <row r="23" spans="1:53">
      <c r="A23" s="101"/>
      <c r="B23" s="195" t="s">
        <v>306</v>
      </c>
      <c r="C23" s="239"/>
      <c r="D23" s="182">
        <f t="shared" si="3"/>
        <v>0</v>
      </c>
      <c r="E23" s="203"/>
      <c r="F23" s="204"/>
      <c r="G23" s="99" t="s">
        <v>25</v>
      </c>
      <c r="H23" s="204"/>
      <c r="I23" s="13">
        <f t="shared" si="4"/>
        <v>0</v>
      </c>
      <c r="J23" s="87">
        <f t="shared" si="5"/>
        <v>0</v>
      </c>
      <c r="K23" s="99" t="s">
        <v>25</v>
      </c>
      <c r="L23" s="99" t="s">
        <v>25</v>
      </c>
      <c r="M23" s="99" t="s">
        <v>25</v>
      </c>
      <c r="N23" s="99" t="s">
        <v>25</v>
      </c>
      <c r="O23" s="127" t="s">
        <v>25</v>
      </c>
      <c r="T23" s="103"/>
      <c r="U23" s="103"/>
      <c r="V23" s="103"/>
      <c r="W23" s="65"/>
      <c r="X23" s="103"/>
      <c r="Y23" s="103"/>
      <c r="Z23" s="103"/>
      <c r="AA23" s="65"/>
      <c r="AB23" s="115"/>
      <c r="AC23" s="115"/>
      <c r="AD23" s="115"/>
      <c r="AE23" s="115"/>
      <c r="AF23" s="115"/>
      <c r="AG23" s="115"/>
      <c r="AH23" s="115"/>
      <c r="AI23" s="115"/>
      <c r="AJ23" s="115"/>
      <c r="AM23" s="1"/>
      <c r="AN23" s="1"/>
      <c r="AO23" s="1"/>
      <c r="AP23" s="1"/>
      <c r="AQ23" s="106"/>
      <c r="AR23" s="106"/>
      <c r="AS23" s="106"/>
      <c r="AT23" s="106"/>
    </row>
    <row r="24" spans="1:53">
      <c r="A24" s="116"/>
      <c r="B24" s="52" t="s">
        <v>307</v>
      </c>
      <c r="C24" s="239"/>
      <c r="D24" s="176">
        <f t="shared" si="3"/>
        <v>0</v>
      </c>
      <c r="E24" s="201"/>
      <c r="F24" s="201"/>
      <c r="G24" s="99" t="s">
        <v>25</v>
      </c>
      <c r="H24" s="201"/>
      <c r="I24" s="13">
        <f t="shared" si="4"/>
        <v>0</v>
      </c>
      <c r="J24" s="13">
        <f t="shared" si="5"/>
        <v>0</v>
      </c>
      <c r="K24" s="99" t="s">
        <v>25</v>
      </c>
      <c r="L24" s="99" t="s">
        <v>25</v>
      </c>
      <c r="M24" s="99" t="s">
        <v>25</v>
      </c>
      <c r="N24" s="99" t="s">
        <v>25</v>
      </c>
      <c r="O24" s="127" t="s">
        <v>25</v>
      </c>
      <c r="P24" s="105"/>
      <c r="T24" s="65"/>
      <c r="U24" s="65"/>
      <c r="V24" s="65"/>
      <c r="W24" s="65"/>
      <c r="X24" s="65"/>
      <c r="Y24" s="65"/>
      <c r="Z24" s="65"/>
      <c r="AA24" s="65"/>
      <c r="AB24" s="117"/>
      <c r="AC24" s="117"/>
      <c r="AD24" s="117"/>
      <c r="AE24" s="117"/>
      <c r="AF24" s="117"/>
      <c r="AG24" s="117"/>
      <c r="AH24" s="117"/>
      <c r="AI24" s="117"/>
      <c r="AJ24" s="117"/>
      <c r="AM24" s="55"/>
      <c r="AN24" s="1"/>
      <c r="AO24" s="107"/>
      <c r="AP24" s="1"/>
      <c r="AQ24" s="108"/>
      <c r="AR24" s="108"/>
      <c r="AS24" s="109"/>
      <c r="AT24" s="109"/>
    </row>
    <row r="25" spans="1:53">
      <c r="A25" s="116"/>
      <c r="B25" s="195" t="s">
        <v>308</v>
      </c>
      <c r="C25" s="239"/>
      <c r="D25" s="176">
        <f t="shared" si="3"/>
        <v>0</v>
      </c>
      <c r="E25" s="201"/>
      <c r="F25" s="201"/>
      <c r="G25" s="99" t="s">
        <v>25</v>
      </c>
      <c r="H25" s="201"/>
      <c r="I25" s="13">
        <f t="shared" si="4"/>
        <v>0</v>
      </c>
      <c r="J25" s="13">
        <f t="shared" si="5"/>
        <v>0</v>
      </c>
      <c r="K25" s="99" t="s">
        <v>25</v>
      </c>
      <c r="L25" s="99" t="s">
        <v>25</v>
      </c>
      <c r="M25" s="99" t="s">
        <v>25</v>
      </c>
      <c r="N25" s="99" t="s">
        <v>25</v>
      </c>
      <c r="O25" s="127" t="s">
        <v>25</v>
      </c>
      <c r="P25" s="15"/>
      <c r="Q25" s="93"/>
      <c r="R25" s="1"/>
      <c r="S25" s="1"/>
      <c r="T25" s="94"/>
      <c r="U25" s="94"/>
      <c r="V25" s="94"/>
      <c r="W25" s="1"/>
      <c r="X25" s="64"/>
      <c r="Y25" s="64"/>
      <c r="Z25" s="64"/>
      <c r="AA25" s="64"/>
      <c r="AB25" s="15"/>
      <c r="AC25" s="1"/>
      <c r="AD25" s="1"/>
      <c r="AE25" s="1"/>
      <c r="AF25" s="1"/>
      <c r="AG25" s="1"/>
      <c r="AH25" s="1"/>
      <c r="AI25" s="1"/>
      <c r="AJ25" s="1"/>
      <c r="AM25" s="1"/>
      <c r="AN25" s="1"/>
      <c r="AO25" s="1"/>
      <c r="AP25" s="1"/>
      <c r="AQ25" s="108"/>
      <c r="AR25" s="108"/>
      <c r="AS25" s="108"/>
      <c r="AT25" s="108"/>
    </row>
    <row r="26" spans="1:53">
      <c r="A26" s="58"/>
      <c r="B26" s="52" t="s">
        <v>309</v>
      </c>
      <c r="C26" s="239"/>
      <c r="D26" s="176">
        <f t="shared" si="3"/>
        <v>0</v>
      </c>
      <c r="E26" s="201"/>
      <c r="F26" s="201"/>
      <c r="G26" s="99" t="s">
        <v>25</v>
      </c>
      <c r="H26" s="201"/>
      <c r="I26" s="13">
        <f t="shared" si="4"/>
        <v>0</v>
      </c>
      <c r="J26" s="13">
        <f t="shared" si="5"/>
        <v>0</v>
      </c>
      <c r="K26" s="99" t="s">
        <v>25</v>
      </c>
      <c r="L26" s="99" t="s">
        <v>25</v>
      </c>
      <c r="M26" s="99" t="s">
        <v>25</v>
      </c>
      <c r="N26" s="99" t="s">
        <v>25</v>
      </c>
      <c r="O26" s="127" t="s">
        <v>25</v>
      </c>
      <c r="P26" s="15"/>
      <c r="Q26" s="93"/>
      <c r="R26" s="1"/>
      <c r="S26" s="1"/>
      <c r="T26" s="94"/>
      <c r="U26" s="94"/>
      <c r="V26" s="94"/>
      <c r="W26" s="1"/>
      <c r="X26" s="64"/>
      <c r="Y26" s="64"/>
      <c r="Z26" s="64"/>
      <c r="AA26" s="64"/>
      <c r="AB26" s="15"/>
      <c r="AC26" s="1"/>
      <c r="AD26" s="1"/>
      <c r="AE26" s="1"/>
      <c r="AF26" s="1"/>
      <c r="AG26" s="1"/>
      <c r="AH26" s="1"/>
      <c r="AI26" s="1"/>
      <c r="AJ26" s="1"/>
      <c r="AM26" s="1"/>
      <c r="AN26" s="1"/>
      <c r="AO26" s="1"/>
      <c r="AP26" s="1"/>
      <c r="AQ26" s="108"/>
      <c r="AR26" s="108"/>
      <c r="AS26" s="108"/>
      <c r="AT26" s="108"/>
    </row>
    <row r="27" spans="1:53" ht="13.8" thickBot="1">
      <c r="A27" s="51"/>
      <c r="B27" s="196" t="s">
        <v>310</v>
      </c>
      <c r="C27" s="242"/>
      <c r="D27" s="183">
        <f t="shared" si="3"/>
        <v>0</v>
      </c>
      <c r="E27" s="205"/>
      <c r="F27" s="205"/>
      <c r="G27" s="191" t="s">
        <v>25</v>
      </c>
      <c r="H27" s="206"/>
      <c r="I27" s="192">
        <f t="shared" si="4"/>
        <v>0</v>
      </c>
      <c r="J27" s="192">
        <f t="shared" si="5"/>
        <v>0</v>
      </c>
      <c r="K27" s="191" t="s">
        <v>25</v>
      </c>
      <c r="L27" s="191" t="s">
        <v>25</v>
      </c>
      <c r="M27" s="191" t="s">
        <v>25</v>
      </c>
      <c r="N27" s="191" t="s">
        <v>25</v>
      </c>
      <c r="O27" s="193" t="s">
        <v>25</v>
      </c>
      <c r="P27" s="19"/>
      <c r="Q27" s="93"/>
      <c r="R27" s="93"/>
      <c r="S27" s="93"/>
      <c r="V27" s="64"/>
      <c r="W27" s="64"/>
      <c r="X27" s="64"/>
      <c r="Y27" s="64"/>
      <c r="Z27" s="64"/>
      <c r="AA27" s="64"/>
      <c r="AB27" s="14"/>
      <c r="AC27" s="14"/>
      <c r="AD27" s="14"/>
      <c r="AE27" s="14"/>
      <c r="AF27" s="14"/>
      <c r="AG27" s="14"/>
      <c r="AH27" s="14"/>
      <c r="AI27" s="14"/>
      <c r="AJ27" s="14"/>
      <c r="AM27" s="111"/>
      <c r="AN27" s="112"/>
      <c r="AO27" s="107"/>
      <c r="AP27" s="1"/>
      <c r="AQ27" s="108"/>
      <c r="AR27" s="108"/>
      <c r="AS27" s="109"/>
      <c r="AT27" s="109"/>
    </row>
    <row r="28" spans="1:53" ht="14.4" thickTop="1" thickBot="1">
      <c r="A28" s="98"/>
      <c r="B28" s="703" t="s">
        <v>389</v>
      </c>
      <c r="C28" s="704"/>
      <c r="D28" s="125">
        <f>SUM(D11:D18)+SUM(D20:D27)</f>
        <v>6.8885537044178253</v>
      </c>
      <c r="E28" s="125">
        <f>SUM(E11:E18)+SUM(E20:E27)</f>
        <v>2.3198220322425951</v>
      </c>
      <c r="F28" s="125">
        <f>SUM(F11:F18)+SUM(F20:F27)</f>
        <v>4.5687316721752307</v>
      </c>
      <c r="G28" s="207">
        <v>12</v>
      </c>
      <c r="H28" s="188" t="s">
        <v>25</v>
      </c>
      <c r="I28" s="189">
        <f>SUM(I11:I18)+SUM(I20:I27)</f>
        <v>7.1322419971909685</v>
      </c>
      <c r="J28" s="189">
        <f>SUM(J11:J18)+SUM(J20:J27)</f>
        <v>2.8815279749815863</v>
      </c>
      <c r="K28" s="190">
        <f>1/(1+I28/D28)</f>
        <v>0.49130975523931281</v>
      </c>
      <c r="L28" s="190">
        <f>K28*D28+((1-K28)*G28)</f>
        <v>9.4886965715986289</v>
      </c>
      <c r="M28" s="190">
        <f>1/(1+(J28/D28))</f>
        <v>0.7050661325526687</v>
      </c>
      <c r="N28" s="190">
        <f>+M28*D28+(1-M28)*G28</f>
        <v>8.3960923286232116</v>
      </c>
      <c r="O28" s="161">
        <f>(L28+N28)/2</f>
        <v>8.9423944501109212</v>
      </c>
      <c r="P28" s="19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M28" s="112"/>
      <c r="AN28" s="112"/>
      <c r="AO28" s="1"/>
      <c r="AP28" s="1"/>
      <c r="AQ28" s="108"/>
      <c r="AR28" s="108"/>
      <c r="AS28" s="108"/>
      <c r="AT28" s="108"/>
    </row>
    <row r="29" spans="1:53">
      <c r="A29" s="62"/>
      <c r="B29" s="73"/>
      <c r="C29" s="85"/>
      <c r="D29" s="85"/>
      <c r="F29" s="62"/>
      <c r="H29" s="62"/>
      <c r="J29" s="62"/>
      <c r="K29" s="62"/>
      <c r="L29" s="62"/>
      <c r="P29" s="19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M29" s="112"/>
      <c r="AN29" s="112"/>
      <c r="AO29" s="107"/>
      <c r="AP29" s="58"/>
      <c r="AQ29" s="58"/>
      <c r="AR29" s="58"/>
      <c r="AS29" s="58"/>
      <c r="AT29" s="58"/>
    </row>
    <row r="30" spans="1:53">
      <c r="A30" s="72"/>
      <c r="B30" s="73"/>
      <c r="C30" s="121"/>
      <c r="D30" s="72"/>
      <c r="E30" s="72"/>
      <c r="F30" s="72"/>
      <c r="G30" s="1"/>
      <c r="H30" s="72"/>
      <c r="J30" s="72"/>
      <c r="K30" s="72"/>
      <c r="L30" s="72"/>
      <c r="P30" s="19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M30" s="74"/>
      <c r="AN30" s="74"/>
      <c r="AO30" s="46"/>
      <c r="AP30" s="46"/>
      <c r="AQ30" s="46"/>
      <c r="AR30" s="46"/>
      <c r="AS30" s="46"/>
      <c r="AT30" s="46"/>
    </row>
    <row r="31" spans="1:53">
      <c r="B31" s="73"/>
      <c r="C31" s="55"/>
      <c r="D31" s="1"/>
      <c r="E31" s="1"/>
      <c r="J31" s="107"/>
      <c r="K31" s="1"/>
      <c r="P31" s="19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M31" s="55"/>
      <c r="AN31" s="46"/>
      <c r="AO31" s="46"/>
      <c r="AP31" s="46"/>
      <c r="AQ31" s="46"/>
      <c r="AR31" s="46"/>
      <c r="AS31" s="46"/>
      <c r="AT31" s="46"/>
    </row>
    <row r="32" spans="1:53">
      <c r="B32" s="73"/>
      <c r="C32" s="107"/>
      <c r="D32" s="107"/>
      <c r="E32" s="107"/>
      <c r="F32" s="111"/>
      <c r="G32" s="112"/>
      <c r="H32" s="111"/>
      <c r="J32" s="1"/>
      <c r="K32" s="1"/>
      <c r="L32" s="107"/>
      <c r="M32" s="1"/>
      <c r="P32" s="19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M32" s="74"/>
      <c r="AN32" s="74"/>
      <c r="AO32" s="46"/>
      <c r="AP32" s="46"/>
      <c r="AQ32" s="46"/>
      <c r="AR32" s="46"/>
      <c r="AS32" s="46"/>
      <c r="AT32" s="46"/>
    </row>
    <row r="33" spans="1:54" ht="13.8" thickBot="1">
      <c r="B33" s="73"/>
      <c r="C33" s="55"/>
      <c r="D33" s="1"/>
      <c r="E33" s="1"/>
      <c r="K33" s="58"/>
      <c r="L33" s="64"/>
      <c r="M33" s="1"/>
      <c r="P33" s="19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M33" s="46"/>
      <c r="AN33" s="46"/>
      <c r="AO33" s="46"/>
      <c r="AP33" s="46"/>
      <c r="AQ33" s="46"/>
      <c r="AR33" s="46"/>
      <c r="AS33" s="46"/>
      <c r="AT33" s="46"/>
    </row>
    <row r="34" spans="1:54" ht="13.8" thickTop="1">
      <c r="B34" s="705" t="s">
        <v>338</v>
      </c>
      <c r="C34" s="705"/>
      <c r="D34" s="705"/>
      <c r="E34" s="705"/>
      <c r="F34" s="705"/>
      <c r="G34" s="705"/>
      <c r="H34" s="705"/>
      <c r="I34" s="705"/>
      <c r="J34" s="705"/>
      <c r="K34" s="58"/>
      <c r="L34" s="64"/>
      <c r="M34" s="1"/>
      <c r="P34" s="9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5"/>
      <c r="AC34" s="15"/>
      <c r="AD34" s="15"/>
      <c r="AE34" s="15"/>
      <c r="AF34" s="15"/>
      <c r="AG34" s="15"/>
      <c r="AH34" s="15"/>
      <c r="AI34" s="15"/>
      <c r="AJ34" s="15"/>
      <c r="AM34" s="46"/>
      <c r="AN34" s="46"/>
      <c r="AO34" s="46"/>
      <c r="AP34" s="46"/>
      <c r="AQ34" s="46"/>
      <c r="AR34" s="46"/>
      <c r="AS34" s="46"/>
      <c r="AT34" s="46"/>
    </row>
    <row r="35" spans="1:54" ht="13.8" thickBot="1">
      <c r="A35" s="51"/>
      <c r="B35" s="706"/>
      <c r="C35" s="706"/>
      <c r="D35" s="706"/>
      <c r="E35" s="706"/>
      <c r="F35" s="706"/>
      <c r="G35" s="706"/>
      <c r="H35" s="706"/>
      <c r="I35" s="706"/>
      <c r="J35" s="706"/>
      <c r="K35" s="58"/>
      <c r="L35" s="64"/>
      <c r="M35" s="1"/>
      <c r="P35" s="19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M35" s="46"/>
      <c r="AN35" s="46"/>
      <c r="AO35" s="46"/>
      <c r="AP35" s="46"/>
      <c r="AQ35" s="46"/>
      <c r="AR35" s="46"/>
      <c r="AS35" s="46"/>
      <c r="AT35" s="46"/>
    </row>
    <row r="36" spans="1:54">
      <c r="A36" s="46"/>
      <c r="B36" s="529" t="s">
        <v>28</v>
      </c>
      <c r="C36" s="481"/>
      <c r="D36" s="481"/>
      <c r="E36" s="525" t="s">
        <v>29</v>
      </c>
      <c r="F36" s="481"/>
      <c r="G36" s="481"/>
      <c r="H36" s="525" t="s">
        <v>30</v>
      </c>
      <c r="I36" s="481"/>
      <c r="J36" s="487"/>
      <c r="K36" s="126"/>
      <c r="L36" s="107"/>
      <c r="M36" s="1"/>
      <c r="P36" s="19"/>
      <c r="S36" s="97"/>
      <c r="T36" s="14"/>
      <c r="U36" s="14"/>
      <c r="V36" s="14"/>
      <c r="W36" s="14"/>
      <c r="X36" s="14"/>
      <c r="Y36" s="14"/>
      <c r="Z36" s="14"/>
      <c r="AA36" s="14"/>
      <c r="AB36" s="97"/>
      <c r="AC36" s="14"/>
      <c r="AD36" s="14"/>
      <c r="AE36" s="14"/>
      <c r="AF36" s="14"/>
      <c r="AG36" s="14"/>
      <c r="AH36" s="14"/>
      <c r="AI36" s="14"/>
      <c r="AJ36" s="14"/>
      <c r="AM36" s="72"/>
      <c r="AN36" s="65"/>
      <c r="AO36" s="65"/>
      <c r="AP36" s="65"/>
      <c r="AQ36" s="65"/>
      <c r="AR36" s="65"/>
      <c r="AS36" s="101"/>
    </row>
    <row r="37" spans="1:54" ht="14.4">
      <c r="A37" s="46"/>
      <c r="B37" s="711" t="s">
        <v>117</v>
      </c>
      <c r="C37" s="267"/>
      <c r="D37" s="267"/>
      <c r="E37" s="712" t="s">
        <v>313</v>
      </c>
      <c r="F37" s="712"/>
      <c r="G37" s="712"/>
      <c r="H37" s="712" t="s">
        <v>314</v>
      </c>
      <c r="I37" s="712"/>
      <c r="J37" s="713"/>
      <c r="K37" s="112"/>
      <c r="L37" s="64"/>
      <c r="M37" s="1"/>
      <c r="P37" s="19"/>
      <c r="S37" s="97"/>
      <c r="T37" s="14"/>
      <c r="U37" s="14"/>
      <c r="V37" s="14"/>
      <c r="W37" s="14"/>
      <c r="X37" s="14"/>
      <c r="Y37" s="14"/>
      <c r="Z37" s="14"/>
      <c r="AA37" s="14"/>
      <c r="AB37" s="97"/>
      <c r="AC37" s="14"/>
      <c r="AD37" s="14"/>
      <c r="AE37" s="14"/>
      <c r="AF37" s="14"/>
      <c r="AG37" s="14"/>
      <c r="AH37" s="14"/>
      <c r="AI37" s="14"/>
      <c r="AJ37" s="14"/>
      <c r="AM37" s="72"/>
      <c r="AN37" s="65"/>
      <c r="AO37" s="65"/>
      <c r="AP37" s="65"/>
      <c r="AQ37" s="65"/>
      <c r="AR37" s="65"/>
      <c r="AS37" s="101"/>
    </row>
    <row r="38" spans="1:54" ht="15.6">
      <c r="A38" s="95"/>
      <c r="B38" s="586" t="s">
        <v>85</v>
      </c>
      <c r="C38" s="715"/>
      <c r="D38" s="715"/>
      <c r="E38" s="717" t="s">
        <v>339</v>
      </c>
      <c r="F38" s="718"/>
      <c r="G38" s="718"/>
      <c r="H38" s="717" t="s">
        <v>340</v>
      </c>
      <c r="I38" s="718"/>
      <c r="J38" s="719"/>
      <c r="K38" s="73"/>
      <c r="L38" s="73"/>
      <c r="M38" s="73"/>
      <c r="N38" s="73"/>
      <c r="P38" s="19"/>
      <c r="S38" s="97"/>
      <c r="T38" s="14"/>
      <c r="U38" s="14"/>
      <c r="V38" s="14"/>
      <c r="W38" s="14"/>
      <c r="X38" s="14"/>
      <c r="Y38" s="14"/>
      <c r="Z38" s="14"/>
      <c r="AA38" s="14"/>
      <c r="AB38" s="97"/>
      <c r="AC38" s="14"/>
      <c r="AD38" s="14"/>
      <c r="AE38" s="14"/>
      <c r="AF38" s="14"/>
      <c r="AG38" s="14"/>
      <c r="AH38" s="14"/>
      <c r="AI38" s="14"/>
      <c r="AJ38" s="14"/>
      <c r="AM38" s="72"/>
      <c r="AN38" s="65"/>
      <c r="AO38" s="65"/>
      <c r="AP38" s="65"/>
      <c r="AQ38" s="65"/>
      <c r="AR38" s="65"/>
      <c r="AS38" s="101"/>
    </row>
    <row r="39" spans="1:54">
      <c r="A39" s="63"/>
      <c r="B39" s="716"/>
      <c r="C39" s="715"/>
      <c r="D39" s="715"/>
      <c r="E39" s="720">
        <f>+D28</f>
        <v>6.8885537044178253</v>
      </c>
      <c r="F39" s="721"/>
      <c r="G39" s="722"/>
      <c r="H39" s="723">
        <f>+O28</f>
        <v>8.9423944501109212</v>
      </c>
      <c r="I39" s="724"/>
      <c r="J39" s="724"/>
      <c r="K39" s="63"/>
      <c r="L39" s="63"/>
      <c r="M39" s="63"/>
      <c r="P39" s="19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M39" s="65"/>
      <c r="AN39" s="65"/>
      <c r="AO39" s="65"/>
      <c r="AP39" s="65"/>
      <c r="AQ39" s="65"/>
      <c r="AR39" s="65"/>
      <c r="AS39" s="101"/>
      <c r="AT39" s="77"/>
      <c r="AU39" s="77"/>
      <c r="AV39" s="77"/>
      <c r="AW39" s="77"/>
      <c r="AX39" s="77"/>
      <c r="AY39" s="77"/>
      <c r="AZ39" s="77"/>
      <c r="BA39" s="77"/>
      <c r="BB39" s="77"/>
    </row>
    <row r="40" spans="1:54" ht="15.6">
      <c r="A40" s="65"/>
      <c r="B40" s="586" t="s">
        <v>317</v>
      </c>
      <c r="C40" s="715"/>
      <c r="D40" s="715"/>
      <c r="E40" s="717" t="s">
        <v>341</v>
      </c>
      <c r="F40" s="718"/>
      <c r="G40" s="718"/>
      <c r="H40" s="717" t="s">
        <v>319</v>
      </c>
      <c r="I40" s="718"/>
      <c r="J40" s="719"/>
      <c r="K40" s="65"/>
      <c r="L40" s="65"/>
      <c r="M40" s="66"/>
      <c r="P40" s="19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M40" s="98"/>
      <c r="AP40" s="15"/>
      <c r="AT40" s="1"/>
      <c r="AY40" s="1"/>
      <c r="AZ40" s="1"/>
      <c r="BA40" s="1"/>
      <c r="BB40" s="1"/>
    </row>
    <row r="41" spans="1:54">
      <c r="A41" s="98"/>
      <c r="B41" s="716"/>
      <c r="C41" s="715"/>
      <c r="D41" s="715"/>
      <c r="E41" s="725">
        <f>+E28</f>
        <v>2.3198220322425951</v>
      </c>
      <c r="F41" s="512"/>
      <c r="G41" s="726"/>
      <c r="H41" s="422">
        <f>+O28*E28/D28</f>
        <v>3.0114831874021704</v>
      </c>
      <c r="I41" s="727"/>
      <c r="J41" s="727"/>
      <c r="K41" s="1"/>
      <c r="L41" s="1"/>
      <c r="M41" s="1"/>
      <c r="P41" s="19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M41" s="105"/>
      <c r="AN41" s="73"/>
      <c r="AO41" s="1"/>
      <c r="AP41" s="20"/>
      <c r="AQ41" s="15"/>
      <c r="AR41" s="77"/>
      <c r="AT41" s="15"/>
      <c r="AY41" s="15"/>
      <c r="AZ41" s="15"/>
      <c r="BA41" s="15"/>
    </row>
    <row r="42" spans="1:54" ht="15.6">
      <c r="A42" s="62"/>
      <c r="B42" s="728" t="s">
        <v>320</v>
      </c>
      <c r="C42" s="729"/>
      <c r="D42" s="729"/>
      <c r="E42" s="717" t="s">
        <v>342</v>
      </c>
      <c r="F42" s="718"/>
      <c r="G42" s="718"/>
      <c r="H42" s="717" t="s">
        <v>322</v>
      </c>
      <c r="I42" s="718"/>
      <c r="J42" s="719"/>
      <c r="K42" s="85"/>
      <c r="L42" s="85"/>
      <c r="M42" s="1"/>
      <c r="P42" s="19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M42" s="55"/>
      <c r="AN42" s="1"/>
      <c r="AP42" s="94"/>
      <c r="AQ42" s="1"/>
      <c r="AR42" s="94"/>
      <c r="AS42" s="94"/>
      <c r="AY42" s="15"/>
      <c r="AZ42" s="15"/>
      <c r="BA42" s="15"/>
    </row>
    <row r="43" spans="1:54" ht="13.8" thickBot="1">
      <c r="A43" s="72"/>
      <c r="B43" s="730"/>
      <c r="C43" s="731"/>
      <c r="D43" s="731"/>
      <c r="E43" s="732">
        <f>+F28</f>
        <v>4.5687316721752307</v>
      </c>
      <c r="F43" s="733"/>
      <c r="G43" s="734"/>
      <c r="H43" s="415">
        <f>+O28*F28/D28</f>
        <v>5.9309112627087517</v>
      </c>
      <c r="I43" s="714"/>
      <c r="J43" s="714"/>
      <c r="K43" s="72"/>
      <c r="L43" s="72"/>
      <c r="M43" s="72"/>
      <c r="P43" s="19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M43" s="55"/>
      <c r="AN43" s="1"/>
      <c r="AP43" s="94"/>
      <c r="AQ43" s="1"/>
      <c r="AR43" s="94"/>
      <c r="AS43" s="94"/>
      <c r="AY43" s="15"/>
      <c r="AZ43" s="15"/>
      <c r="BA43" s="20"/>
    </row>
    <row r="44" spans="1:54">
      <c r="A44" s="72"/>
      <c r="C44" s="62"/>
      <c r="D44" s="62"/>
      <c r="E44" s="62"/>
      <c r="F44" s="85"/>
      <c r="G44" s="62"/>
      <c r="H44" s="62"/>
      <c r="I44" s="85"/>
      <c r="K44" s="1"/>
      <c r="L44" s="1"/>
      <c r="M44" s="1"/>
      <c r="AM44" s="55"/>
      <c r="AN44" s="1"/>
      <c r="AP44" s="64"/>
      <c r="AQ44" s="1"/>
      <c r="AR44" s="94"/>
      <c r="AS44" s="94"/>
      <c r="AY44" s="1"/>
      <c r="AZ44" s="55"/>
      <c r="BA44" s="51"/>
    </row>
    <row r="45" spans="1:54">
      <c r="A45" s="1"/>
      <c r="B45" s="1"/>
      <c r="C45" s="1"/>
      <c r="F45" s="1"/>
      <c r="G45" s="1"/>
      <c r="H45" s="1"/>
      <c r="I45" s="1"/>
      <c r="J45" s="1"/>
      <c r="K45" s="1"/>
      <c r="L45" s="1"/>
      <c r="M45" s="1"/>
    </row>
    <row r="46" spans="1:54">
      <c r="A46" s="1"/>
      <c r="B46" s="1"/>
      <c r="C46" s="111"/>
      <c r="D46" s="122"/>
      <c r="E46" s="123"/>
      <c r="F46" s="111"/>
      <c r="G46" s="122"/>
      <c r="H46" s="123"/>
      <c r="I46" s="111"/>
      <c r="J46" s="122"/>
      <c r="K46" s="111"/>
      <c r="L46" s="122"/>
      <c r="M46" s="123"/>
    </row>
    <row r="47" spans="1:5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54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14">
      <c r="A49" s="58"/>
      <c r="B49" s="58"/>
      <c r="C49" s="58"/>
      <c r="D49" s="107"/>
      <c r="E49" s="58"/>
      <c r="F49" s="58"/>
      <c r="G49" s="85"/>
      <c r="I49" s="58"/>
      <c r="J49" s="107"/>
      <c r="K49" s="58"/>
      <c r="L49" s="107"/>
      <c r="M49" s="1"/>
    </row>
    <row r="50" spans="1:14">
      <c r="A50" s="116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4">
      <c r="A51" s="116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4">
      <c r="A52" s="105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4">
      <c r="A53" s="116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4">
      <c r="A54" s="116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4">
      <c r="A55" s="116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4">
      <c r="A56" s="95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1:14">
      <c r="C57" s="64"/>
      <c r="D57" s="64"/>
      <c r="E57" s="64"/>
      <c r="F57" s="64"/>
      <c r="G57" s="1"/>
      <c r="H57" s="64"/>
      <c r="I57" s="64"/>
      <c r="J57" s="64"/>
      <c r="K57" s="1"/>
      <c r="L57" s="64"/>
      <c r="M57" s="64"/>
    </row>
    <row r="58" spans="1:14">
      <c r="A58" s="15"/>
      <c r="B58" s="1"/>
      <c r="C58" s="1"/>
      <c r="D58" s="1"/>
      <c r="E58" s="1"/>
      <c r="F58" s="1"/>
      <c r="G58" s="1"/>
    </row>
    <row r="60" spans="1:14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1:14">
      <c r="A61" s="62"/>
      <c r="B61" s="62"/>
      <c r="C61" s="62"/>
      <c r="E61" s="85"/>
      <c r="F61" s="1"/>
      <c r="G61" s="1"/>
      <c r="H61" s="1"/>
      <c r="I61" s="85"/>
      <c r="J61" s="1"/>
      <c r="K61" s="1"/>
      <c r="L61" s="1"/>
      <c r="M61" s="1"/>
    </row>
    <row r="62" spans="1:14">
      <c r="A62" s="72"/>
      <c r="B62" s="72"/>
      <c r="C62" s="72"/>
      <c r="D62" s="72"/>
      <c r="E62" s="15"/>
      <c r="F62" s="15"/>
      <c r="G62" s="15"/>
      <c r="H62" s="15"/>
      <c r="I62" s="15"/>
      <c r="J62" s="15"/>
      <c r="K62" s="15"/>
      <c r="L62" s="15"/>
      <c r="M62" s="15"/>
    </row>
    <row r="63" spans="1:14">
      <c r="A63" s="101"/>
      <c r="B63" s="101"/>
      <c r="C63" s="101"/>
      <c r="D63" s="101"/>
      <c r="E63" s="85"/>
      <c r="I63" s="85"/>
      <c r="J63" s="62"/>
      <c r="K63" s="62"/>
    </row>
    <row r="64" spans="1:14">
      <c r="A64" s="73"/>
      <c r="B64" s="73"/>
      <c r="C64" s="73"/>
      <c r="E64" s="64"/>
      <c r="F64" s="1"/>
      <c r="G64" s="1"/>
      <c r="H64" s="1"/>
      <c r="I64" s="14"/>
      <c r="J64" s="14"/>
      <c r="K64" s="14"/>
      <c r="L64" s="14"/>
      <c r="M64" s="14"/>
    </row>
    <row r="65" spans="1:14">
      <c r="A65" s="73"/>
      <c r="B65" s="73"/>
      <c r="C65" s="73"/>
      <c r="E65" s="64"/>
      <c r="F65" s="1"/>
      <c r="G65" s="1"/>
      <c r="H65" s="1"/>
      <c r="I65" s="14"/>
      <c r="J65" s="14"/>
      <c r="K65" s="14"/>
      <c r="L65" s="14"/>
      <c r="M65" s="14"/>
    </row>
    <row r="66" spans="1:14">
      <c r="A66" s="105"/>
      <c r="B66" s="73"/>
      <c r="C66" s="73"/>
      <c r="E66" s="64"/>
      <c r="F66" s="1"/>
      <c r="G66" s="1"/>
      <c r="H66" s="1"/>
      <c r="I66" s="14"/>
      <c r="J66" s="14"/>
      <c r="K66" s="14"/>
      <c r="L66" s="14"/>
      <c r="M66" s="14"/>
    </row>
    <row r="67" spans="1:14">
      <c r="A67" s="73"/>
      <c r="B67" s="73"/>
      <c r="C67" s="73"/>
      <c r="E67" s="64"/>
      <c r="F67" s="1"/>
      <c r="G67" s="1"/>
      <c r="H67" s="1"/>
      <c r="I67" s="14"/>
      <c r="J67" s="14"/>
      <c r="K67" s="14"/>
      <c r="L67" s="14"/>
      <c r="M67" s="14"/>
    </row>
    <row r="68" spans="1:14">
      <c r="A68" s="95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73" spans="1:14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</row>
    <row r="74" spans="1:14">
      <c r="A74" s="71"/>
      <c r="B74" s="71"/>
      <c r="C74" s="71"/>
      <c r="D74" s="72"/>
      <c r="E74" s="72"/>
      <c r="F74" s="72"/>
      <c r="G74" s="72"/>
      <c r="I74" s="72"/>
      <c r="J74" s="72"/>
      <c r="K74" s="72"/>
      <c r="L74" s="72"/>
      <c r="M74" s="72"/>
    </row>
    <row r="75" spans="1:14">
      <c r="A75" s="71"/>
      <c r="B75" s="71"/>
      <c r="C75" s="71"/>
      <c r="D75" s="62"/>
      <c r="G75" s="62"/>
      <c r="H75" s="62"/>
      <c r="I75" s="62"/>
      <c r="J75" s="72"/>
      <c r="K75" s="72"/>
      <c r="L75" s="62"/>
      <c r="M75" s="62"/>
    </row>
    <row r="76" spans="1:14">
      <c r="A76" s="73"/>
      <c r="B76" s="73"/>
      <c r="C76" s="73"/>
      <c r="D76" s="64"/>
      <c r="E76" s="1"/>
      <c r="F76" s="1"/>
      <c r="G76" s="64"/>
      <c r="H76" s="1"/>
      <c r="I76" s="1"/>
      <c r="J76" s="1"/>
      <c r="K76" s="1"/>
      <c r="L76" s="14"/>
      <c r="M76" s="14"/>
    </row>
    <row r="77" spans="1:14">
      <c r="A77" s="73"/>
      <c r="B77" s="73"/>
      <c r="C77" s="73"/>
      <c r="D77" s="64"/>
      <c r="E77" s="1"/>
      <c r="F77" s="1"/>
      <c r="G77" s="64"/>
      <c r="H77" s="1"/>
      <c r="I77" s="1"/>
      <c r="J77" s="1"/>
      <c r="K77" s="1"/>
      <c r="L77" s="14"/>
      <c r="M77" s="14"/>
    </row>
    <row r="78" spans="1:14">
      <c r="A78" s="73"/>
      <c r="B78" s="73"/>
      <c r="C78" s="73"/>
      <c r="D78" s="64"/>
      <c r="E78" s="1"/>
      <c r="F78" s="1"/>
      <c r="G78" s="64"/>
      <c r="H78" s="1"/>
      <c r="I78" s="1"/>
      <c r="J78" s="1"/>
      <c r="K78" s="1"/>
      <c r="L78" s="14"/>
      <c r="M78" s="14"/>
    </row>
  </sheetData>
  <sheetProtection sheet="1" objects="1" scenarios="1"/>
  <mergeCells count="48">
    <mergeCell ref="B42:D43"/>
    <mergeCell ref="E42:G42"/>
    <mergeCell ref="H42:J42"/>
    <mergeCell ref="E43:G43"/>
    <mergeCell ref="H43:J43"/>
    <mergeCell ref="B40:D41"/>
    <mergeCell ref="E40:G40"/>
    <mergeCell ref="H40:J40"/>
    <mergeCell ref="E41:G41"/>
    <mergeCell ref="H41:J41"/>
    <mergeCell ref="B37:D37"/>
    <mergeCell ref="E37:G37"/>
    <mergeCell ref="H37:J37"/>
    <mergeCell ref="B38:D39"/>
    <mergeCell ref="E38:G38"/>
    <mergeCell ref="H38:J38"/>
    <mergeCell ref="E39:G39"/>
    <mergeCell ref="H39:J39"/>
    <mergeCell ref="B36:D36"/>
    <mergeCell ref="E36:G36"/>
    <mergeCell ref="H36:J36"/>
    <mergeCell ref="B19:O19"/>
    <mergeCell ref="B28:C28"/>
    <mergeCell ref="O8:O9"/>
    <mergeCell ref="B10:O10"/>
    <mergeCell ref="B34:J35"/>
    <mergeCell ref="M6:M7"/>
    <mergeCell ref="M8:M9"/>
    <mergeCell ref="N8:N9"/>
    <mergeCell ref="J8:J9"/>
    <mergeCell ref="K8:K9"/>
    <mergeCell ref="L8:L9"/>
    <mergeCell ref="B3:O4"/>
    <mergeCell ref="B5:C5"/>
    <mergeCell ref="B6:C9"/>
    <mergeCell ref="D6:F7"/>
    <mergeCell ref="G6:G9"/>
    <mergeCell ref="H6:H9"/>
    <mergeCell ref="I6:I7"/>
    <mergeCell ref="J6:J7"/>
    <mergeCell ref="K6:K7"/>
    <mergeCell ref="L6:L7"/>
    <mergeCell ref="N6:N7"/>
    <mergeCell ref="O6:O7"/>
    <mergeCell ref="D8:D9"/>
    <mergeCell ref="E8:E9"/>
    <mergeCell ref="F8:F9"/>
    <mergeCell ref="I8:I9"/>
  </mergeCells>
  <dataValidations disablePrompts="1" count="1">
    <dataValidation type="list" allowBlank="1" showInputMessage="1" showErrorMessage="1" sqref="AO41" xr:uid="{00000000-0002-0000-0800-000000000000}">
      <formula1>Local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26</vt:i4>
      </vt:variant>
    </vt:vector>
  </HeadingPairs>
  <TitlesOfParts>
    <vt:vector size="36" baseType="lpstr">
      <vt:lpstr>Instructions</vt:lpstr>
      <vt:lpstr>Segment 1</vt:lpstr>
      <vt:lpstr>Segment 2</vt:lpstr>
      <vt:lpstr>Segment Tables</vt:lpstr>
      <vt:lpstr>Intersection 1</vt:lpstr>
      <vt:lpstr>Intersection 2</vt:lpstr>
      <vt:lpstr>Intersection Tables</vt:lpstr>
      <vt:lpstr>Rural 2-Lane Site Total</vt:lpstr>
      <vt:lpstr>Rural 2-Lane Project Total</vt:lpstr>
      <vt:lpstr>Construction - Do Not Delete</vt:lpstr>
      <vt:lpstr>CRumble</vt:lpstr>
      <vt:lpstr>Differ</vt:lpstr>
      <vt:lpstr>District</vt:lpstr>
      <vt:lpstr>Division</vt:lpstr>
      <vt:lpstr>IApproach</vt:lpstr>
      <vt:lpstr>ILight</vt:lpstr>
      <vt:lpstr>IType</vt:lpstr>
      <vt:lpstr>LApproach</vt:lpstr>
      <vt:lpstr>Lighting</vt:lpstr>
      <vt:lpstr>Local</vt:lpstr>
      <vt:lpstr>LWidth</vt:lpstr>
      <vt:lpstr>MWidth</vt:lpstr>
      <vt:lpstr>Not_Present</vt:lpstr>
      <vt:lpstr>PLane</vt:lpstr>
      <vt:lpstr>PLane2</vt:lpstr>
      <vt:lpstr>RApproach</vt:lpstr>
      <vt:lpstr>Region</vt:lpstr>
      <vt:lpstr>RHR</vt:lpstr>
      <vt:lpstr>Shld2</vt:lpstr>
      <vt:lpstr>SpEnforce</vt:lpstr>
      <vt:lpstr>Spiral</vt:lpstr>
      <vt:lpstr>Spiral2</vt:lpstr>
      <vt:lpstr>SSlope</vt:lpstr>
      <vt:lpstr>SType</vt:lpstr>
      <vt:lpstr>SWidth</vt:lpstr>
      <vt:lpstr>TWLTL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Dixon</dc:creator>
  <dc:description>Prepared for HSM Training -- NCHRP 17-38</dc:description>
  <cp:lastModifiedBy>Pratt, Mike</cp:lastModifiedBy>
  <cp:lastPrinted>2010-06-17T15:42:43Z</cp:lastPrinted>
  <dcterms:created xsi:type="dcterms:W3CDTF">2009-11-22T21:24:43Z</dcterms:created>
  <dcterms:modified xsi:type="dcterms:W3CDTF">2024-02-28T20:00:25Z</dcterms:modified>
</cp:coreProperties>
</file>